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0"/>
  </bookViews>
  <sheets>
    <sheet name="Existing Home Checklist" sheetId="1" r:id="rId1"/>
  </sheets>
  <definedNames>
    <definedName name="City">#REF!</definedName>
    <definedName name="ComArea">#REF!</definedName>
    <definedName name="Pname">#REF!</definedName>
    <definedName name="_xlnm.Print_Area" localSheetId="0">'Existing Home Checklist'!$A$1:$P$382</definedName>
    <definedName name="_xlnm.Print_Titles" localSheetId="0">'Existing Home Checklist'!$8:$8</definedName>
    <definedName name="Z_329D0D94_5007_4F3E_936F_2C7AB725B19C_.wvu.Cols" localSheetId="0" hidden="1">'Existing Home Checklist'!#REF!</definedName>
    <definedName name="Z_329D0D94_5007_4F3E_936F_2C7AB725B19C_.wvu.PrintArea" localSheetId="0" hidden="1">'Existing Home Checklist'!$J$1:$P$327</definedName>
    <definedName name="Z_329D0D94_5007_4F3E_936F_2C7AB725B19C_.wvu.PrintTitles" localSheetId="0" hidden="1">'Existing Home Checklist'!$1:$8</definedName>
  </definedNames>
  <calcPr fullCalcOnLoad="1"/>
</workbook>
</file>

<file path=xl/comments1.xml><?xml version="1.0" encoding="utf-8"?>
<comments xmlns="http://schemas.openxmlformats.org/spreadsheetml/2006/main">
  <authors>
    <author>Daisy Allen</author>
    <author>amy</author>
  </authors>
  <commentList>
    <comment ref="J47" authorId="0">
      <text>
        <r>
          <rPr>
            <sz val="8"/>
            <rFont val="Tahoma"/>
            <family val="2"/>
          </rPr>
          <t>If your Elements project involves construction and/or demolition, you are required to recycle all cardboard, concrete and metals.</t>
        </r>
      </text>
    </comment>
    <comment ref="J140" authorId="0">
      <text>
        <r>
          <rPr>
            <sz val="8"/>
            <rFont val="Tahoma"/>
            <family val="2"/>
          </rPr>
          <t xml:space="preserve">
Note that G1a is required to get credit for G1b and G1c.</t>
        </r>
      </text>
    </comment>
    <comment ref="J210" authorId="1">
      <text>
        <r>
          <rPr>
            <sz val="8"/>
            <rFont val="Tahoma"/>
            <family val="2"/>
          </rPr>
          <t>Measures J2, M1, and M3a and b are accounted for in software and points are not available for those measures.</t>
        </r>
        <r>
          <rPr>
            <sz val="8"/>
            <rFont val="Tahoma"/>
            <family val="0"/>
          </rPr>
          <t xml:space="preserve">
</t>
        </r>
      </text>
    </comment>
  </commentList>
</comments>
</file>

<file path=xl/sharedStrings.xml><?xml version="1.0" encoding="utf-8"?>
<sst xmlns="http://schemas.openxmlformats.org/spreadsheetml/2006/main" count="515" uniqueCount="348">
  <si>
    <r>
      <t xml:space="preserve">The GreenPoint Rated checklist tracks green features incorporated into the home. </t>
    </r>
    <r>
      <rPr>
        <b/>
        <sz val="10"/>
        <rFont val="Arial"/>
        <family val="2"/>
      </rPr>
      <t>A home is only GreenPoint Rated if all features are verified by a Certified GreenPoint Rater through Build It Green.</t>
    </r>
    <r>
      <rPr>
        <sz val="10"/>
        <rFont val="Arial"/>
        <family val="2"/>
      </rPr>
      <t xml:space="preserve"> GreenPoint Rated is provided as a public service by Build It Green, a professional non-profit whose mission is to promote healthy, energy and resource efficient buildings in California. 
This checklist is used to track projects seeking a Whole House or Elements Rating using the GreenPoint Rated Existing Home Rating System.  The  minimum requirements for a green home seeking  the Elements and Whole House Rating  are listed in the project summary at the end of this checklist.  Selected measures can be awarded points allocated by the percentage of presence of the measure in the home. Not all measures are available for allocation.  The measure or practice must be found in at least 10% of the home to earn points. 
The criteria for the green building practices listed below are described in the GreenPoint Rated Existing Home Rating Manual. For more information please visit www.builditgreen.org/greenpointrated  
Column A is a dropdown menu with the options of "Yes", "No", or "TBD"  or a range of percentages 
to allocate points. Select the appropriate dropdown and the apropriate points will appear in the 
yellow "points acheived" column.
</t>
    </r>
    <r>
      <rPr>
        <b/>
        <sz val="9"/>
        <rFont val="Arial"/>
        <family val="2"/>
      </rPr>
      <t>GreenPoint Rated Existing Home Checklist  version 1.2</t>
    </r>
  </si>
  <si>
    <r>
      <t xml:space="preserve">     a.  ENERGY STAR Qualified &amp; &lt; 25 cu.ft.Capacity  </t>
    </r>
    <r>
      <rPr>
        <b/>
        <sz val="9"/>
        <color indexed="10"/>
        <rFont val="Arial"/>
        <family val="2"/>
      </rPr>
      <t>(Mutually Exclusive with J3)</t>
    </r>
  </si>
  <si>
    <r>
      <t xml:space="preserve">     b. ENERGY STAR Qualified &amp; &lt; 20 cu.ft Capacity</t>
    </r>
    <r>
      <rPr>
        <sz val="9"/>
        <color indexed="10"/>
        <rFont val="Arial"/>
        <family val="2"/>
      </rPr>
      <t xml:space="preserve"> </t>
    </r>
    <r>
      <rPr>
        <b/>
        <sz val="9"/>
        <color indexed="10"/>
        <rFont val="Arial"/>
        <family val="2"/>
      </rPr>
      <t>(Mutually Exclusive with J3)</t>
    </r>
  </si>
  <si>
    <r>
      <t xml:space="preserve">     </t>
    </r>
    <r>
      <rPr>
        <sz val="9"/>
        <rFont val="Arial"/>
        <family val="2"/>
      </rPr>
      <t xml:space="preserve">a. ENERGY STAR </t>
    </r>
    <r>
      <rPr>
        <b/>
        <sz val="9"/>
        <color indexed="10"/>
        <rFont val="Arial"/>
        <family val="2"/>
      </rPr>
      <t>(Mutually Exclusive with J3)</t>
    </r>
  </si>
  <si>
    <t xml:space="preserve">    a. Any Whole House Ventilation System (that meets ASHRAE 62.2)</t>
  </si>
  <si>
    <t xml:space="preserve">     b. 60% of electric needs OR 2.4kW</t>
  </si>
  <si>
    <t xml:space="preserve">     c. 90% of electric needs OR 3.6 kW</t>
  </si>
  <si>
    <t xml:space="preserve">4. Low-VOC Caulks &amp; Construction Adhesives (Meet SCAQMD Rule 1168) </t>
  </si>
  <si>
    <t>Total Points Available in Finishes = 22</t>
  </si>
  <si>
    <t>9. Effective Exhaust Systems Installed in Bathrooms and Kitchens</t>
  </si>
  <si>
    <t>10. Mechanical Ventilation System for Cooling Installed</t>
  </si>
  <si>
    <t>11. Mechanical Ventilation for Fresh Air Installed</t>
  </si>
  <si>
    <t xml:space="preserve">4. Zoned, Hydronic Radiant Heating </t>
  </si>
  <si>
    <t>7. High Efficiency HVAC Filter (MERV 6+)</t>
  </si>
  <si>
    <t xml:space="preserve">3. Energy Budget for Home Based on Year </t>
  </si>
  <si>
    <t>4. Comprehensive Utility Bill Analysis</t>
  </si>
  <si>
    <t xml:space="preserve">  Points Achieved</t>
  </si>
  <si>
    <t xml:space="preserve">     b. No Plant Species Require Shearing</t>
  </si>
  <si>
    <t>Yes</t>
  </si>
  <si>
    <t xml:space="preserve">    c. Porch (min. 100sf) Oriented to Streets and Public Spaces</t>
  </si>
  <si>
    <t xml:space="preserve">3. Construction IAQ Management Plan </t>
  </si>
  <si>
    <t>Total Points Available in Foundation = 10</t>
  </si>
  <si>
    <t>Total Points Available in Exterior Finish = 7</t>
  </si>
  <si>
    <t>Total Points Available in Insulation = 5</t>
  </si>
  <si>
    <t>N. OTHER</t>
  </si>
  <si>
    <t>4. Safety &amp; Social Gathering</t>
  </si>
  <si>
    <t>5. Diverse Households</t>
  </si>
  <si>
    <t xml:space="preserve"> 1. Solar Water Heating System</t>
  </si>
  <si>
    <t xml:space="preserve">     a. Home Has at Least One Zero-Step Entrance</t>
  </si>
  <si>
    <t xml:space="preserve">    a. Front Entrance Has Views from the Inside to Outside Callers</t>
  </si>
  <si>
    <t xml:space="preserve">    b. Front Entrance Can be Seen from the Street and/or from Other Front Doors</t>
  </si>
  <si>
    <t xml:space="preserve">    b. Home is Located within 1/2 Mile of a Major Transit Stop</t>
  </si>
  <si>
    <t>2. Compact Development &amp; House Size</t>
  </si>
  <si>
    <t>1. Insulation with 75% Recycled Content</t>
  </si>
  <si>
    <t>2. Rain Screen Wall System Installed</t>
  </si>
  <si>
    <t>3. Durable &amp; Noncombustible Siding Materials</t>
  </si>
  <si>
    <t>3. FSC Certified Wood</t>
  </si>
  <si>
    <t>1. Optimal Value Engineering</t>
  </si>
  <si>
    <t>A. SITE</t>
  </si>
  <si>
    <t>Possible Points</t>
  </si>
  <si>
    <t xml:space="preserve">     a. System Uses Only Low-Flow Drip, Bubblers, or Low-flow Sprinklers</t>
  </si>
  <si>
    <t>D. STRUCTURAL FRAME &amp; BUILDING ENVELOPE</t>
  </si>
  <si>
    <t>2. Use Engineered Lumber</t>
  </si>
  <si>
    <t xml:space="preserve">     c. Wood I-Joists or Web Trusses for Floors</t>
  </si>
  <si>
    <t xml:space="preserve">     b. All New Plants Have Trunk, Base, or Stem Located At Least 36 Inches from Foundation</t>
  </si>
  <si>
    <t>E. EXTERIOR FINISH</t>
  </si>
  <si>
    <t>J. BUILDING PERFORMANCE</t>
  </si>
  <si>
    <t xml:space="preserve">2. Develop Homeowner Manual of Green Features/Benefits </t>
  </si>
  <si>
    <t xml:space="preserve">     a. Floors</t>
  </si>
  <si>
    <t xml:space="preserve">     b. Walls</t>
  </si>
  <si>
    <t xml:space="preserve">     c. Roofs</t>
  </si>
  <si>
    <t xml:space="preserve">     b. Ceilings</t>
  </si>
  <si>
    <t>K. FINISHES</t>
  </si>
  <si>
    <t>L. FLOORING</t>
  </si>
  <si>
    <t xml:space="preserve">     a. Place Rafters &amp; Studs at 24-Inch On Center Framing</t>
  </si>
  <si>
    <t xml:space="preserve">     b. Size Door &amp; Window Headers for Load</t>
  </si>
  <si>
    <t xml:space="preserve">     c. Use Only Jack &amp; Cripple Studs Required for Load</t>
  </si>
  <si>
    <t xml:space="preserve">     b. All Bathroom Fans are on Timer or Humidistat</t>
  </si>
  <si>
    <t xml:space="preserve">     e. Engineered or Finger-Jointed Studs for Vertical Applications</t>
  </si>
  <si>
    <t xml:space="preserve">     a. Built-In Recycling Center</t>
  </si>
  <si>
    <t xml:space="preserve">     b. Built-In Composting Center</t>
  </si>
  <si>
    <t>B. FOUNDATION</t>
  </si>
  <si>
    <t>C.  LANDSCAPE</t>
  </si>
  <si>
    <t xml:space="preserve">      a Tightly Seal the Air Barrier between Garage and Living Area</t>
  </si>
  <si>
    <t xml:space="preserve">     b. System Has Smart Controllers</t>
  </si>
  <si>
    <t>F. INSULATION</t>
  </si>
  <si>
    <t>G. PLUMBING</t>
  </si>
  <si>
    <t>H. HEATING, VENTILATION &amp; AIR CONDITIONING</t>
  </si>
  <si>
    <t>I. RENEWABLE ENERGY</t>
  </si>
  <si>
    <t xml:space="preserve">     d. Lot Includes Full-Function Independent Rental Unit</t>
  </si>
  <si>
    <t xml:space="preserve">AA. COMMUNITY </t>
  </si>
  <si>
    <t>3. Retrofit Crawl Space to Control Moisture</t>
  </si>
  <si>
    <t>3. Minimal Turf Areas</t>
  </si>
  <si>
    <t>6. High-Efficiency Irrigation Systems Installed</t>
  </si>
  <si>
    <t>1. Infill Site</t>
  </si>
  <si>
    <t xml:space="preserve">     c. Ductwork Installed under Attic Insulation (Buried Ducts) </t>
  </si>
  <si>
    <t>1. Entryways Designed to Reduce Tracked in Contaminants</t>
  </si>
  <si>
    <t>2. Low/No-VOC Paint</t>
  </si>
  <si>
    <t>M. APPLIANCES AND LIGHTING</t>
  </si>
  <si>
    <t>R</t>
  </si>
  <si>
    <t>1. Distribute Domestic Hot Water Efficiently</t>
  </si>
  <si>
    <t xml:space="preserve">     f.  Oriented Strand Board for Sublfoor</t>
  </si>
  <si>
    <t>5. Design and Build Structural Pest Controls</t>
  </si>
  <si>
    <t>1.  Resource-Efficient Landscapes</t>
  </si>
  <si>
    <t>6. Energy Heels on Roof Trusses (75% of Attic Insulation Height at Outside Edge of Exterior Wall)</t>
  </si>
  <si>
    <t>3. Sealed Combustion Units</t>
  </si>
  <si>
    <t xml:space="preserve">     a. Low-VOC Interior Wall/Ceiling Paints (&lt;50 gpl VOCs regardless of sheen)</t>
  </si>
  <si>
    <t xml:space="preserve">     b. Zero-VOC: Interior Wall/Ceiling Paints (&lt;5 gpl VOCs (flat) )</t>
  </si>
  <si>
    <t xml:space="preserve">   a. Subfloor &amp; Stair Treads </t>
  </si>
  <si>
    <t xml:space="preserve">   d. Shelving</t>
  </si>
  <si>
    <t>4. Solid Wall Systems (includes SIPs, ICFs, &amp; Any Non-Stick Frame Assembly)</t>
  </si>
  <si>
    <t>1. Recycled-Content (No Virgin Plastic) or FSC-Certified Wood Decking</t>
  </si>
  <si>
    <t>2. Low-Emitting Insulation (Certified CA Section 01350)</t>
  </si>
  <si>
    <t xml:space="preserve">     b. Duct Mastic Used on All Ducts, Joints and Seams</t>
  </si>
  <si>
    <t>4. Pest Inspection and Correction</t>
  </si>
  <si>
    <t xml:space="preserve">     a. No Invasive Species Listed by Cal-IPC Are Planted</t>
  </si>
  <si>
    <t xml:space="preserve">2. Fire-Safe Landscaping Techniques </t>
  </si>
  <si>
    <t>3. Coatings Meet SCAQMD Rule 1113 for Low VOCs</t>
  </si>
  <si>
    <t xml:space="preserve">    b. Install Air-to-Air Heat Exchanger (that meets ASHRAE 62.2)</t>
  </si>
  <si>
    <t xml:space="preserve">     a. Furnaces</t>
  </si>
  <si>
    <t xml:space="preserve">5. Plants Grouped by Water Needs (Hydrozoning)  </t>
  </si>
  <si>
    <t xml:space="preserve">     a. Turf Not Installed on Slopes Exceeding 10% or in Areas Less than 8 Feet Wide</t>
  </si>
  <si>
    <t xml:space="preserve">     a. Walls and Floors</t>
  </si>
  <si>
    <t>2. Thermal Mass Floors</t>
  </si>
  <si>
    <t xml:space="preserve">        5 Services Listed Above (Tier 2 Services count as 1/2 Service Value)</t>
  </si>
  <si>
    <t xml:space="preserve">       10 Services Listed Above (Tier 2 Services count as 1/2 Service Value)</t>
  </si>
  <si>
    <t xml:space="preserve">3. Pedestrian and Bicycle Access/ Alternative Transportation </t>
  </si>
  <si>
    <t>Designated Bicycle Lanes are Present on Roadways;</t>
  </si>
  <si>
    <t>Ten-Foot Vehicle Travel Lanes;</t>
  </si>
  <si>
    <t>Street Crossings Closest to Site are Located Less Than 300 Feet Apart;</t>
  </si>
  <si>
    <t>Streets Have Rumble Strips, Bulbouts, Raised Crosswalks or Refuge Islands</t>
  </si>
  <si>
    <t xml:space="preserve">    c. At Least Two of the Following Traffic-Calming Strategies Installed within 1/4 mile: </t>
  </si>
  <si>
    <t xml:space="preserve">     b. Foundation Drainage System</t>
  </si>
  <si>
    <t xml:space="preserve">6. Radon Testing and Correction or Radon Resistant Construction </t>
  </si>
  <si>
    <t xml:space="preserve">7. Compost and Recycle Garden Trimmings on Site </t>
  </si>
  <si>
    <t>10. Light Pollution Reduced by Shielding Fixtures and Directing Light Downward</t>
  </si>
  <si>
    <t xml:space="preserve">     b. Minimum 24-Inch Overhangs and Gutters</t>
  </si>
  <si>
    <t xml:space="preserve">     a. Minimum 16-Inch Overhangs and Gutters</t>
  </si>
  <si>
    <t xml:space="preserve">     a. New Ductwork and HVAC unit Installed Within Conditioned Space </t>
  </si>
  <si>
    <t xml:space="preserve">     c. Turf is &lt;10% of Landscaped Area or eliminated </t>
  </si>
  <si>
    <t>3. Inspect Quality of Insulation Installation before Applying Drywall</t>
  </si>
  <si>
    <t xml:space="preserve">3. Water Efficient Fixtures </t>
  </si>
  <si>
    <t xml:space="preserve"> 2. Photovoltaic (PV) System that offsets electric energy use by: </t>
  </si>
  <si>
    <t>Project Name</t>
  </si>
  <si>
    <t xml:space="preserve">                  10) Convenience Store Where Meat &amp; Produce are Sold</t>
  </si>
  <si>
    <t>Summary</t>
  </si>
  <si>
    <t>Total Points Available in Renewable Energy = 22</t>
  </si>
  <si>
    <t>Total Points Available in Flooring = 7</t>
  </si>
  <si>
    <t xml:space="preserve">     a. Meets CEE Tier 2 Requirements (Modified Energy Factor 2.0, Water Factor 6.0)</t>
  </si>
  <si>
    <t xml:space="preserve">     b. Meets CEE Tier 3 Requirements (Modified Energy Factor 2.2, Water Factor 4.5)</t>
  </si>
  <si>
    <t>Total Points Achieved</t>
  </si>
  <si>
    <t xml:space="preserve">     a. Control Ground Moisture with Vapor Barrier  </t>
  </si>
  <si>
    <t xml:space="preserve">4. Shade Trees Planted    </t>
  </si>
  <si>
    <t xml:space="preserve">8. Mulch in All Planting Beds to the Greater of 2 Inches or Local Water Ordinance Requirement  </t>
  </si>
  <si>
    <t xml:space="preserve">     b.Water heaters</t>
  </si>
  <si>
    <t>0.2 pt = 10% to &lt;25% </t>
  </si>
  <si>
    <t>0.4 pt = 25% to &lt;50%</t>
  </si>
  <si>
    <t>0.6 pt = 50% to &lt;75%</t>
  </si>
  <si>
    <t>0.8 pt = 75% to &lt;90%</t>
  </si>
  <si>
    <t>1.0 pt = greater than or equal to 90%</t>
  </si>
  <si>
    <t>≥90%</t>
  </si>
  <si>
    <t xml:space="preserve">     c. 50% of Plants Are California Natives or Mediterranean Cimate Species </t>
  </si>
  <si>
    <t>Total Available Points</t>
  </si>
  <si>
    <t>4. Gas Shut Off Valve (motion/ non-motion)</t>
  </si>
  <si>
    <t xml:space="preserve">  Community</t>
  </si>
  <si>
    <t xml:space="preserve">  Energy</t>
  </si>
  <si>
    <t xml:space="preserve">  IAQ/Health</t>
  </si>
  <si>
    <t xml:space="preserve">  Resources</t>
  </si>
  <si>
    <t xml:space="preserve">  Water</t>
  </si>
  <si>
    <t>GreenPoint Elements</t>
  </si>
  <si>
    <t>Points Achieved:</t>
  </si>
  <si>
    <t>6. Effective Ductwork Installation</t>
  </si>
  <si>
    <t xml:space="preserve">8. Retrofit/ Upgrade Structure for Lateral Load Reinforcement for Wind or Seismic </t>
  </si>
  <si>
    <t>3. Hazardous Waste Testing</t>
  </si>
  <si>
    <t xml:space="preserve">     b. Turf is &lt;33% of Landscaped Area </t>
  </si>
  <si>
    <t>Total Points Available in Plumbing = 13</t>
  </si>
  <si>
    <t xml:space="preserve">     a. Lead Testing Interior, Exterior and Soil</t>
  </si>
  <si>
    <t xml:space="preserve">     b. Asbestos Testing and Remediation  </t>
  </si>
  <si>
    <t>Total Points Available in Site = 8</t>
  </si>
  <si>
    <t>Total Points Available in Landscape = 31</t>
  </si>
  <si>
    <t>≥75%</t>
  </si>
  <si>
    <t>≥50%</t>
  </si>
  <si>
    <t>12. Carbon Monoxide</t>
  </si>
  <si>
    <t>1+</t>
  </si>
  <si>
    <t>GreenPoint Rated Existing Home Checklist</t>
  </si>
  <si>
    <t>Elements</t>
  </si>
  <si>
    <t>Whole House</t>
  </si>
  <si>
    <t xml:space="preserve">     a. Site has Pedestrian Access Within ½ Mile of neighborhood services:   </t>
  </si>
  <si>
    <t>1. Protect Existing Topsoil from Erosion and Reuse after Construction</t>
  </si>
  <si>
    <t xml:space="preserve">      b. Install Garage Exhaust Fan OR Have a Detached Garage</t>
  </si>
  <si>
    <t>4. Durable &amp; Fire-Resistant Roofing Materials</t>
  </si>
  <si>
    <t xml:space="preserve">     b.  Locate Water Heater Within 12' Of All Water Fixtures, as measured in plan</t>
  </si>
  <si>
    <t>Total Points Available in Heating, Ventilation and Air Conditioning = 33</t>
  </si>
  <si>
    <t xml:space="preserve">TIER 1:  Practices in Tier 1 Are Worth Full Value (1 point)      </t>
  </si>
  <si>
    <t xml:space="preserve">TIER 2:  Practices in Tier 2 Are Worth Half Value (0.5 points) </t>
  </si>
  <si>
    <t>Total Points Available in Structural Frame &amp; Building Envelope = 36</t>
  </si>
  <si>
    <t>Total Points Available in Building Performance = 31+</t>
  </si>
  <si>
    <r>
      <t xml:space="preserve">     </t>
    </r>
    <r>
      <rPr>
        <sz val="9"/>
        <rFont val="Arial"/>
        <family val="2"/>
      </rPr>
      <t>d. Wood I-Joists for Roof Rafters</t>
    </r>
  </si>
  <si>
    <r>
      <t>5.  Reduce Pollution Entering the Home from the Garage</t>
    </r>
    <r>
      <rPr>
        <sz val="9"/>
        <rFont val="Arial"/>
        <family val="2"/>
      </rPr>
      <t xml:space="preserve"> </t>
    </r>
  </si>
  <si>
    <t>8. No Fireplace OR Sealed Gas Fireplaces with Efficiency Rating ≥60% using CSA Standards</t>
  </si>
  <si>
    <r>
      <t xml:space="preserve">   b. Energy Budget Compared to Current Code </t>
    </r>
    <r>
      <rPr>
        <b/>
        <sz val="9"/>
        <color indexed="10"/>
        <rFont val="Arial"/>
        <family val="2"/>
      </rPr>
      <t>(Enter Number of Points)</t>
    </r>
  </si>
  <si>
    <r>
      <t xml:space="preserve">     </t>
    </r>
    <r>
      <rPr>
        <sz val="9"/>
        <rFont val="Arial"/>
        <family val="2"/>
      </rPr>
      <t>b. Dishwasher Uses No More Than 6.5 Gallons/Cycle</t>
    </r>
  </si>
  <si>
    <t xml:space="preserve">  b. High-Efficiency Showerheads  Use ≤ 2.0 gpm at 80 psi</t>
  </si>
  <si>
    <t>8. After Installation of Finishes, Test of Indoor Air Shows Formaldehyde Level &lt;27ppb</t>
  </si>
  <si>
    <t xml:space="preserve">     a. Minimum 20% Flyash and/or Slag Content</t>
  </si>
  <si>
    <t xml:space="preserve">     b. Minimum 30% Flyash and/or Slag Content</t>
  </si>
  <si>
    <t xml:space="preserve">1. Replace Portland Cement in Concrete with Recycled Flyash or Slag </t>
  </si>
  <si>
    <r>
      <t xml:space="preserve">2. Moisture Source Verification and Correction </t>
    </r>
    <r>
      <rPr>
        <b/>
        <sz val="9"/>
        <color indexed="10"/>
        <rFont val="Arial"/>
        <family val="2"/>
      </rPr>
      <t>(Required for Whole House)</t>
    </r>
  </si>
  <si>
    <t xml:space="preserve">     b. &gt; 350 gallons</t>
  </si>
  <si>
    <t>12. Soil Amended with Compost</t>
  </si>
  <si>
    <t xml:space="preserve">     a. Engineered Beams &amp; Headers</t>
  </si>
  <si>
    <t xml:space="preserve">     g. Oriented Strand Board Wall and Roof Sheathing</t>
  </si>
  <si>
    <t xml:space="preserve">7. Overhangs and Gutters </t>
  </si>
  <si>
    <r>
      <t xml:space="preserve">9. Sound Exterior Assemblies </t>
    </r>
    <r>
      <rPr>
        <b/>
        <sz val="9"/>
        <color indexed="10"/>
        <rFont val="Arial"/>
        <family val="2"/>
      </rPr>
      <t>(Required for Whole House)</t>
    </r>
  </si>
  <si>
    <t xml:space="preserve">     a. ENERGY STAR Bathroom Fans Vented to the Outside</t>
  </si>
  <si>
    <t xml:space="preserve">     c. Kitchen Range Hood Vented to the Outside</t>
  </si>
  <si>
    <t xml:space="preserve">     a. ENERGY STAR Ceiling Fans &amp; Light Kits in Living Areas &amp; Bedrooms</t>
  </si>
  <si>
    <t xml:space="preserve">     b. Whole House Fan</t>
  </si>
  <si>
    <t xml:space="preserve">     a. 30% of electric needs OR 1.2 kW</t>
  </si>
  <si>
    <t xml:space="preserve">   a) Attic Insulation up to or Exceeding Current Code      </t>
  </si>
  <si>
    <t xml:space="preserve">   b) Crawl Space Insulation up to or Exceeding Current Code</t>
  </si>
  <si>
    <t xml:space="preserve">   c) Wall Insulation up to or Exceeding Current Code  </t>
  </si>
  <si>
    <t xml:space="preserve">   d) High Efficiency Furnace (90% AFUE Minimum)    </t>
  </si>
  <si>
    <t xml:space="preserve">   e) Seal Ducts and Duct Leakage is &lt;15%</t>
  </si>
  <si>
    <t xml:space="preserve">    h) High Efficiency Water Heater ≥.62EF       </t>
  </si>
  <si>
    <t xml:space="preserve">    i) Radiant Barrier in Attic</t>
  </si>
  <si>
    <t xml:space="preserve">    j) Windows Upgraded to Current Code Requirements, Which are Typically Dual Pane</t>
  </si>
  <si>
    <t xml:space="preserve">    k) Duct insulation to Code      </t>
  </si>
  <si>
    <t xml:space="preserve">    m) 14 SEER, 11.5 EER Air Conditioning unit (in climate zones 1,3,5,6,7,16)                               </t>
  </si>
  <si>
    <t>1. Water and Energy Efficient Dishwasher Installed</t>
  </si>
  <si>
    <t>2.  ENERGY STAR Clothes Washing Machine with Water Factor of 6 or Less</t>
  </si>
  <si>
    <t>3. ENERGY STAR Refrigerator Installed</t>
  </si>
  <si>
    <t>4. Built-In Recycling &amp; Composting Center</t>
  </si>
  <si>
    <t xml:space="preserve">7. Energy Efficient Lighting </t>
  </si>
  <si>
    <t>8  Low-Mercury Fluorescent Lighting Installed (lamps, bulbs)</t>
  </si>
  <si>
    <t xml:space="preserve">9. Lighting Controls Installed </t>
  </si>
  <si>
    <r>
      <t xml:space="preserve">  a. All Fixtures Meet Federal Energy Policy Act (Toilets: 1.6 gpf, Sinks: 2.2 gpm, Showers: 
      2.5 gpm)</t>
    </r>
    <r>
      <rPr>
        <sz val="9"/>
        <color indexed="10"/>
        <rFont val="Arial"/>
        <family val="2"/>
      </rPr>
      <t xml:space="preserve"> </t>
    </r>
    <r>
      <rPr>
        <b/>
        <sz val="9"/>
        <color indexed="10"/>
        <rFont val="Arial"/>
        <family val="2"/>
      </rPr>
      <t>(Required For Whole House)</t>
    </r>
  </si>
  <si>
    <r>
      <t xml:space="preserve">     </t>
    </r>
    <r>
      <rPr>
        <sz val="9"/>
        <rFont val="Arial"/>
        <family val="2"/>
      </rPr>
      <t>a. Low- Mercury Products Are Installed Whenever Linear Flourescent Lamps Are Used  
         or Replaced</t>
    </r>
  </si>
  <si>
    <r>
      <t xml:space="preserve">     </t>
    </r>
    <r>
      <rPr>
        <sz val="9"/>
        <rFont val="Arial"/>
        <family val="2"/>
      </rPr>
      <t>b. Low- Mercury Products Are Installed Whenever Compact Fluorescent Lamps Are 
         Used or Replaced</t>
    </r>
  </si>
  <si>
    <t>1--10</t>
  </si>
  <si>
    <t>No</t>
  </si>
  <si>
    <t xml:space="preserve">Enter Label: </t>
  </si>
  <si>
    <t>N/A</t>
  </si>
  <si>
    <t xml:space="preserve">    b. Access to A Dedicated Pedestrian Pathway to Places of Recreational Interest within 
       1/2 Mile</t>
  </si>
  <si>
    <t>Total Points Available in Appliances and Lighting = 19</t>
  </si>
  <si>
    <t>224+</t>
  </si>
  <si>
    <t>Total Points Available in Community = 29</t>
  </si>
  <si>
    <t>Minimum Points Required (Whole House)</t>
  </si>
  <si>
    <t>Minimum Points Required (Elements)</t>
  </si>
  <si>
    <t>2. Design and Install HVAC System to ACCA Manuals J, D and S</t>
  </si>
  <si>
    <r>
      <t xml:space="preserve">2. High-Efficiency Toilets (Dual-Flush or </t>
    </r>
    <r>
      <rPr>
        <b/>
        <sz val="9"/>
        <rFont val="Arial"/>
        <family val="2"/>
      </rPr>
      <t>≤</t>
    </r>
    <r>
      <rPr>
        <b/>
        <sz val="9"/>
        <rFont val="Arial"/>
        <family val="2"/>
      </rPr>
      <t xml:space="preserve"> 1.28 gpf)</t>
    </r>
  </si>
  <si>
    <t xml:space="preserve">    a.  Cabinets </t>
  </si>
  <si>
    <t xml:space="preserve">    b.  Interior Trim</t>
  </si>
  <si>
    <t xml:space="preserve">    c.  Shelving </t>
  </si>
  <si>
    <t xml:space="preserve">    d.  Doors</t>
  </si>
  <si>
    <t xml:space="preserve">    e.  Countertops </t>
  </si>
  <si>
    <r>
      <t>7. Formaldehyde Redcued in Interior Finish (CA Section 01350)</t>
    </r>
    <r>
      <rPr>
        <sz val="9"/>
        <rFont val="Arial"/>
        <family val="2"/>
      </rPr>
      <t xml:space="preserve"> </t>
    </r>
  </si>
  <si>
    <t>TBD</t>
  </si>
  <si>
    <t xml:space="preserve">    b. Carbon Monoxide Alarm(s) Installed</t>
  </si>
  <si>
    <r>
      <t>5. High Efficiency Air Conditioning Air conditioning with Environmentally 
    Responsible Refrigerants</t>
    </r>
    <r>
      <rPr>
        <sz val="9"/>
        <rFont val="Arial"/>
        <family val="2"/>
      </rPr>
      <t xml:space="preserve">  </t>
    </r>
  </si>
  <si>
    <t xml:space="preserve">     a. Install Termite Shields &amp; Separate All Exterior Wood-to-Concrete Connections by  
         Metal or Plastic Fasteners/Dividers</t>
  </si>
  <si>
    <t xml:space="preserve">     a. Insulate All Accessible Hot Water Pipes</t>
  </si>
  <si>
    <t xml:space="preserve">  c. Bathrooms Faucets Use ≤ 1.5 gpm</t>
  </si>
  <si>
    <t xml:space="preserve">3. Flooring Meets CA Section 01350 or CRI Green Label Plus Requirements </t>
  </si>
  <si>
    <t>Is the landscape area is &lt;15% of the total site area? (only 3 points available in this section for projects with &lt;15% landscape area)</t>
  </si>
  <si>
    <t xml:space="preserve">     b. Conduct Diagnostic Testing to Evaluate System </t>
  </si>
  <si>
    <t xml:space="preserve">     c. Conduct Flow Hood Test and Assess Delivery of Air</t>
  </si>
  <si>
    <t xml:space="preserve">     d. Air Conditioning Compressor Operates Properly and Refrigerant Charge is Optimal</t>
  </si>
  <si>
    <t xml:space="preserve">     c.  Install On-Demand Circulation Control Pump</t>
  </si>
  <si>
    <t xml:space="preserve">     b. All Main Floor Interior Doors &amp; Passageways Have a Min. 32-Inch Clear Passage Space</t>
  </si>
  <si>
    <t xml:space="preserve">     d. Ductwork System is Pressure Relieved</t>
  </si>
  <si>
    <r>
      <t xml:space="preserve">    a. Carbon Monoxide Testing and Correction</t>
    </r>
    <r>
      <rPr>
        <b/>
        <sz val="9"/>
        <color indexed="10"/>
        <rFont val="Arial"/>
        <family val="2"/>
      </rPr>
      <t xml:space="preserve"> (Required for Whole House)</t>
    </r>
  </si>
  <si>
    <t xml:space="preserve">   g) House Passes Blower Door Test With ≤0.5 ACH or a 50% Improvement</t>
  </si>
  <si>
    <t xml:space="preserve">   f) 14 SEER, 11.5 EER Air Conditioning Unit (in climate zones 2,4,8-15)     </t>
  </si>
  <si>
    <t>6. Environmentally Preferable Materials for Interior Finish: A) FSC Certified Wood B) Reclaimed Materials C) Rapidly Renewable D) Recycled-Content E) Finger-Jointed or F) Local</t>
  </si>
  <si>
    <t xml:space="preserve">   b. Cabinets &amp; Countertops </t>
  </si>
  <si>
    <t xml:space="preserve">   c. Interior Trim </t>
  </si>
  <si>
    <t xml:space="preserve">    l)  Programmable Thermostat    </t>
  </si>
  <si>
    <t xml:space="preserve"> a. Partial Lateral Load Reinforcement  Upgrades/ Retrofits</t>
  </si>
  <si>
    <t xml:space="preserve"> b. Lateral Load Reinforcement Upgrades/ Retrofits for Entire home</t>
  </si>
  <si>
    <t xml:space="preserve">     c. Home includes at Least a Half-Bath on the Ground Floor with Blocking for Grab Bars</t>
  </si>
  <si>
    <t xml:space="preserve">1. General HVAC Equipment Verification and Correction </t>
  </si>
  <si>
    <t>2. Divert Construction and Demolition Waste</t>
  </si>
  <si>
    <r>
      <t xml:space="preserve">     a. Divert All Cardboard, Concrete, Asphalt and Metals </t>
    </r>
    <r>
      <rPr>
        <b/>
        <sz val="9"/>
        <color indexed="10"/>
        <rFont val="Arial"/>
        <family val="2"/>
      </rPr>
      <t>(Required for both Whole 
         House and Elements, if Applicable)</t>
    </r>
    <r>
      <rPr>
        <b/>
        <sz val="9"/>
        <rFont val="Arial"/>
        <family val="2"/>
      </rPr>
      <t xml:space="preserve"> </t>
    </r>
  </si>
  <si>
    <t xml:space="preserve">     c. Divert 25% C&amp;D Waste Excluding All Cardboard, Concrete, Asphalt and Metals  </t>
  </si>
  <si>
    <t xml:space="preserve">     b. Insulated Headers</t>
  </si>
  <si>
    <r>
      <t xml:space="preserve">     b. Deconstruct for Reuse </t>
    </r>
    <r>
      <rPr>
        <b/>
        <sz val="9"/>
        <color indexed="10"/>
        <rFont val="Arial"/>
        <family val="2"/>
      </rPr>
      <t>(Enter Number of Points, up to 2 points)</t>
    </r>
    <r>
      <rPr>
        <sz val="9"/>
        <rFont val="Arial"/>
        <family val="2"/>
      </rPr>
      <t xml:space="preserve"> 
         1) Appliances, 2) Brick, tile, masonry, 3) Cabinetry, 4) Countertops, 5) Doors, 
         6) Fixtures (plumbing, lighting, etc), 7) Sinks/Tubs, 8) Toilets (1.6 only), 9) Windows, 
        10) Wood - (2x4, flooring, form boards)   </t>
    </r>
  </si>
  <si>
    <t>9. Use Environmentally Preferable Materials for Non-Plant Landscape Elements</t>
  </si>
  <si>
    <t>A. Site</t>
  </si>
  <si>
    <t>1. Cool Site</t>
  </si>
  <si>
    <t xml:space="preserve">C. Landscaping </t>
  </si>
  <si>
    <t xml:space="preserve">2. FSC-Certified Wood, Recycled Plastic or Composite Lumber - Fencing </t>
  </si>
  <si>
    <t xml:space="preserve">1. Irrigation System Uses Recycled Wastewater </t>
  </si>
  <si>
    <t xml:space="preserve">D. Structural Frame and Building Envelope </t>
  </si>
  <si>
    <t>1. Design, Build and Maintain Structural Pest and Rot Controls</t>
  </si>
  <si>
    <t xml:space="preserve">a. Locate All Wood (Siding, Trim, Structure) At Least 12 Inches Above Soil </t>
  </si>
  <si>
    <t>b. All Wood Framing 3 Feet from the Foundation is Treated with Borates (or Use Factory-Impregnated Materials) OR Walls are Not Made of Wood</t>
  </si>
  <si>
    <t xml:space="preserve">2. Use Moisture Resistant Materials and Practices in Wet Areas of Kitchen, Bathrooms, Utility Rooms, and Basements </t>
  </si>
  <si>
    <t>3. Use FSC-Certified Engineered Lumber</t>
  </si>
  <si>
    <t>a. Engineered Beams and Headers</t>
  </si>
  <si>
    <t>b. Insulated Engineered Headers</t>
  </si>
  <si>
    <t>c. Wood I-Joists or Web Trusses for Floors</t>
  </si>
  <si>
    <t>d. Wood I-Joists for Roof Rafters</t>
  </si>
  <si>
    <t>e. Engineered or Finger-Jointed Studs for Vertical Applications</t>
  </si>
  <si>
    <t>f. Roof Trusses</t>
  </si>
  <si>
    <t>E. Exterior Finish</t>
  </si>
  <si>
    <t>1. Green Roofs (25% or Roof Area Minimum)</t>
  </si>
  <si>
    <t>b. 50% (4 points total)</t>
  </si>
  <si>
    <t>G. Plumbing</t>
  </si>
  <si>
    <t>1. Graywater Pre-Plumbing (Includes Clothes Washer at Minimum)</t>
  </si>
  <si>
    <t>2. Graywater System Operational (Includes Clothes Washer at Minimum)</t>
  </si>
  <si>
    <t>3. Innovative Wastewater Technology (Constructed Wetland, Sand Filter, Aerobic System)</t>
  </si>
  <si>
    <t xml:space="preserve">4. Composting or Waterless Toilet </t>
  </si>
  <si>
    <t>5. Install Drain Water Heat-Recovery System</t>
  </si>
  <si>
    <t>H. Heating, Ventilation and Air Conditioning (HVAC)</t>
  </si>
  <si>
    <t>1. Humidity Control Systems (Only in California Humid/Marine Climate Zones 1,3,5,6,7)</t>
  </si>
  <si>
    <t>J. Building Performance</t>
  </si>
  <si>
    <t>1. Test Total Supply Air Flow Rates</t>
  </si>
  <si>
    <t>K. Finishes: No Innovation Measures At This Time.</t>
  </si>
  <si>
    <t>L. Flooring: No Innovation Measures At This Time.</t>
  </si>
  <si>
    <t>M. Appliances: No Innovation Measures At This Time.</t>
  </si>
  <si>
    <t>N. Other</t>
  </si>
  <si>
    <t xml:space="preserve">1. Homebuilder's Management Staff Are Certified Green Building Professionals </t>
  </si>
  <si>
    <t>2. Comprehensive Owner's Manual and Homeowner Education Walkthroughs</t>
  </si>
  <si>
    <t>Total Points Available in Other = 6</t>
  </si>
  <si>
    <t>Total Points Available in Innovation = 26+</t>
  </si>
  <si>
    <t>AA. Community: No Innovation Measures At This Time</t>
  </si>
  <si>
    <t>B. Foundation: No Innovation Measures At This Time</t>
  </si>
  <si>
    <t>F. Insulation: No Innovation Measures At This Time</t>
  </si>
  <si>
    <t>I. Renewable Energy: No Innovation Measures At This Time</t>
  </si>
  <si>
    <t>P. INNOVATIONS</t>
  </si>
  <si>
    <t>2. Energy Budget Analysis (J3) Completed By CEPE</t>
  </si>
  <si>
    <t>a. 25% (2 points) measured on the horizontal</t>
  </si>
  <si>
    <t xml:space="preserve">    a. Home is Located in a Built Urban Setting with Utilities in Place </t>
  </si>
  <si>
    <t xml:space="preserve">                   7) Library                     8) Farmer's Market               9) After School Programs</t>
  </si>
  <si>
    <t xml:space="preserve">                   4) Drug Store            5) Restaurant                           6) School</t>
  </si>
  <si>
    <t xml:space="preserve">   TIER 1:   1) Day Care               2) Community Center           3) Public Park</t>
  </si>
  <si>
    <t xml:space="preserve">                     4) Hardware         5) Theater/Entertainment         6) Fitness/Gym</t>
  </si>
  <si>
    <t xml:space="preserve">     TIER 2:  1) Bank                 2) Place of Worship                    3) Laundry/Cleaners</t>
  </si>
  <si>
    <t xml:space="preserve">                     7) Post Office    8) Senior Care Facility                9) Medical/Dental</t>
  </si>
  <si>
    <r>
      <t xml:space="preserve">4. Plumbing System Integrity and No Plumbing Leaks </t>
    </r>
    <r>
      <rPr>
        <b/>
        <sz val="9"/>
        <color indexed="10"/>
        <rFont val="Arial"/>
        <family val="2"/>
      </rPr>
      <t>(Required for Whole House and Elements)</t>
    </r>
  </si>
  <si>
    <t xml:space="preserve">5. Recycled-Content Paint </t>
  </si>
  <si>
    <r>
      <t xml:space="preserve">1. Environmentally Preferable Flooring: A) FSC-Certified Wood B) Reclaimed or Refinished  C) Rapidly Renewable D) Recycled-Content, E) Exposed Concrete F) Local </t>
    </r>
    <r>
      <rPr>
        <b/>
        <i/>
        <sz val="9"/>
        <rFont val="Arial"/>
        <family val="2"/>
      </rPr>
      <t xml:space="preserve">
Flooring Adhesives Must Have &lt;70 gpl VOCs and sealer must meet SCAQMD Rule 1113.</t>
    </r>
  </si>
  <si>
    <t>6. Verification of Entire Electrical System</t>
  </si>
  <si>
    <r>
      <t xml:space="preserve">1. Incorporate GreenPoint Checklist in Blueprints Or Distribute Checklist </t>
    </r>
    <r>
      <rPr>
        <b/>
        <sz val="9"/>
        <color indexed="10"/>
        <rFont val="Arial"/>
        <family val="2"/>
      </rPr>
      <t>(Required for Whole House and Elements)</t>
    </r>
  </si>
  <si>
    <t xml:space="preserve">     a.  Describe Innovation Here and Enter Possible Points in Columns L-P</t>
  </si>
  <si>
    <t xml:space="preserve">     b.  Describe Innovation Here and Enter Possible Points in Columns L-P</t>
  </si>
  <si>
    <t xml:space="preserve">     c.  Describe Innovation Here and Enter Possible Points in Columns L-P</t>
  </si>
  <si>
    <t xml:space="preserve">     d.  Describe Innovation Here and Enter Possible Points in Columns L-P</t>
  </si>
  <si>
    <t xml:space="preserve">     e.  Describe Innovation Here and Enter Possible Points in Columns L-P</t>
  </si>
  <si>
    <t xml:space="preserve">     f.   Describe Innovation Here and Enter Possible Points in Columns L-P</t>
  </si>
  <si>
    <t xml:space="preserve">     g.  Describe Innovation Here  and Enter Possible Points in Columns L-P</t>
  </si>
  <si>
    <t xml:space="preserve">     h.  Describe Innovation Here  and Enter Possible Points in Columns L-P</t>
  </si>
  <si>
    <t>11.  Rain Water Harvesting System (1 point for ≤ 350 gallons, 2 points for &gt; 350 gallons)</t>
  </si>
  <si>
    <r>
      <t xml:space="preserve">     a. </t>
    </r>
    <r>
      <rPr>
        <sz val="9"/>
        <rFont val="Arial"/>
        <family val="2"/>
      </rPr>
      <t>≤</t>
    </r>
    <r>
      <rPr>
        <sz val="9"/>
        <rFont val="Arial"/>
        <family val="2"/>
      </rPr>
      <t xml:space="preserve"> 350 gallons</t>
    </r>
  </si>
  <si>
    <t>3. Additional Innovations: List innovative measures that meet green building objectives. Points will be assessed by Build It Green and the GreenPoint Rater.</t>
  </si>
  <si>
    <r>
      <t xml:space="preserve">    a. Density of 10 Units per Acre or Greater </t>
    </r>
    <r>
      <rPr>
        <b/>
        <sz val="9"/>
        <color indexed="10"/>
        <rFont val="Arial"/>
        <family val="2"/>
      </rPr>
      <t>(Enter units/acre)</t>
    </r>
  </si>
  <si>
    <r>
      <t xml:space="preserve">    b. Home Size Efficiency</t>
    </r>
    <r>
      <rPr>
        <sz val="9"/>
        <color indexed="10"/>
        <rFont val="Arial"/>
        <family val="2"/>
      </rPr>
      <t xml:space="preserve"> </t>
    </r>
    <r>
      <rPr>
        <b/>
        <sz val="9"/>
        <color indexed="10"/>
        <rFont val="Arial"/>
        <family val="2"/>
      </rPr>
      <t>(5 points is average, points awarded based on home size)</t>
    </r>
  </si>
  <si>
    <t xml:space="preserve">                    10) Hair Care       11) Commercial Office of Major Employer   12) Full 
                     Supermarket</t>
  </si>
  <si>
    <r>
      <t xml:space="preserve">13.  Combustion Safety Backdraft Test </t>
    </r>
    <r>
      <rPr>
        <b/>
        <sz val="9"/>
        <color indexed="10"/>
        <rFont val="Arial"/>
        <family val="2"/>
      </rPr>
      <t>(Required for Whole House and Elements)</t>
    </r>
  </si>
  <si>
    <t xml:space="preserve">     a. Dimensional Lumber, Studs, and Timber</t>
  </si>
  <si>
    <t xml:space="preserve">     b. Panel Products</t>
  </si>
  <si>
    <r>
      <t xml:space="preserve">   a. Meet Energy Budget for Home Based on Year (Includes Blower Door Test)</t>
    </r>
    <r>
      <rPr>
        <b/>
        <sz val="9"/>
        <rFont val="Arial"/>
        <family val="2"/>
      </rPr>
      <t xml:space="preserve"> </t>
    </r>
    <r>
      <rPr>
        <b/>
        <sz val="9"/>
        <color indexed="10"/>
        <rFont val="Arial"/>
        <family val="2"/>
      </rPr>
      <t>(Required 
       for Whole House, Available for Elements)</t>
    </r>
  </si>
  <si>
    <r>
      <t>1. Energy Survey and Education (includes blower door test)</t>
    </r>
    <r>
      <rPr>
        <b/>
        <sz val="9"/>
        <color indexed="10"/>
        <rFont val="Arial"/>
        <family val="2"/>
      </rPr>
      <t xml:space="preserve"> (Required for Elements or Meet J3a)</t>
    </r>
  </si>
  <si>
    <r>
      <t xml:space="preserve">     a. Visual Survey of Installation of HVAC Equipment </t>
    </r>
    <r>
      <rPr>
        <b/>
        <sz val="9"/>
        <color indexed="10"/>
        <rFont val="Arial"/>
        <family val="2"/>
      </rPr>
      <t>(Required for Whole 
         House and Elements)</t>
    </r>
  </si>
  <si>
    <r>
      <t xml:space="preserve">5. Electrical Survey </t>
    </r>
    <r>
      <rPr>
        <b/>
        <sz val="9"/>
        <color indexed="10"/>
        <rFont val="Arial"/>
        <family val="2"/>
      </rPr>
      <t xml:space="preserve"> (Required for Whole House)</t>
    </r>
  </si>
  <si>
    <t>3. Design and Build Zero Energy Homes</t>
  </si>
  <si>
    <r>
      <t>2. Energy Upgrades</t>
    </r>
    <r>
      <rPr>
        <b/>
        <sz val="9"/>
        <color indexed="20"/>
        <rFont val="Arial"/>
        <family val="2"/>
      </rPr>
      <t xml:space="preserve"> </t>
    </r>
    <r>
      <rPr>
        <b/>
        <sz val="9"/>
        <color indexed="10"/>
        <rFont val="Arial"/>
        <family val="2"/>
      </rPr>
      <t xml:space="preserve">(Available for Elements Rating Only, Mutually Exclusive with J3) 
2 point minimum and 6 point maximum credit required.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</si>
</sst>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quot;minimum = &quot;0"/>
    <numFmt numFmtId="169" formatCode="&quot;min. &quot;0"/>
    <numFmt numFmtId="170" formatCode="0."/>
    <numFmt numFmtId="171" formatCode="0.0"/>
    <numFmt numFmtId="172" formatCode="#.#"/>
    <numFmt numFmtId="173" formatCode="#"/>
    <numFmt numFmtId="174" formatCode="_(* #,##0.0_);_(* \(#,##0.0\);_(* &quot;-&quot;??_);_(@_)"/>
    <numFmt numFmtId="175" formatCode="_(* #,##0_);_(* \(#,##0\);_(* &quot;-&quot;??_);_(@_)"/>
    <numFmt numFmtId="176" formatCode="0.000"/>
    <numFmt numFmtId="177" formatCode="mm/dd/yy"/>
    <numFmt numFmtId="178" formatCode="&quot;ENTER     &quot;0"/>
    <numFmt numFmtId="179" formatCode="&quot;ENTER&quot;0"/>
    <numFmt numFmtId="180" formatCode="&quot;$&quot;#,##0"/>
    <numFmt numFmtId="181" formatCode="[$€-2]\ #,##0.00_);[Red]\([$€-2]\ #,##0.00\)"/>
    <numFmt numFmtId="182" formatCode="&quot;$&quot;#,##0.00"/>
  </numFmts>
  <fonts count="77">
    <font>
      <sz val="10"/>
      <name val="Arial"/>
      <family val="0"/>
    </font>
    <font>
      <u val="single"/>
      <sz val="10"/>
      <color indexed="36"/>
      <name val="Arial"/>
      <family val="2"/>
    </font>
    <font>
      <u val="single"/>
      <sz val="10"/>
      <color indexed="12"/>
      <name val="Arial"/>
      <family val="2"/>
    </font>
    <font>
      <sz val="10"/>
      <color indexed="9"/>
      <name val="Arial"/>
      <family val="2"/>
    </font>
    <font>
      <sz val="8"/>
      <name val="Arial"/>
      <family val="2"/>
    </font>
    <font>
      <b/>
      <sz val="14"/>
      <color indexed="9"/>
      <name val="Arial"/>
      <family val="2"/>
    </font>
    <font>
      <b/>
      <sz val="9"/>
      <name val="Arial"/>
      <family val="2"/>
    </font>
    <font>
      <b/>
      <sz val="12"/>
      <color indexed="9"/>
      <name val="Arial"/>
      <family val="2"/>
    </font>
    <font>
      <b/>
      <sz val="11"/>
      <color indexed="9"/>
      <name val="Arial"/>
      <family val="2"/>
    </font>
    <font>
      <sz val="10"/>
      <color indexed="12"/>
      <name val="Arial"/>
      <family val="2"/>
    </font>
    <font>
      <b/>
      <sz val="10"/>
      <name val="Arial"/>
      <family val="2"/>
    </font>
    <font>
      <b/>
      <sz val="10"/>
      <color indexed="10"/>
      <name val="Arial"/>
      <family val="2"/>
    </font>
    <font>
      <sz val="8"/>
      <name val="Tahoma"/>
      <family val="2"/>
    </font>
    <font>
      <b/>
      <sz val="16"/>
      <color indexed="19"/>
      <name val="Arial"/>
      <family val="2"/>
    </font>
    <font>
      <sz val="9"/>
      <color indexed="9"/>
      <name val="Arial"/>
      <family val="2"/>
    </font>
    <font>
      <b/>
      <sz val="10"/>
      <color indexed="16"/>
      <name val="Arial"/>
      <family val="2"/>
    </font>
    <font>
      <sz val="20"/>
      <color indexed="9"/>
      <name val="Arial"/>
      <family val="2"/>
    </font>
    <font>
      <sz val="20"/>
      <name val="Arial"/>
      <family val="2"/>
    </font>
    <font>
      <sz val="8"/>
      <color indexed="63"/>
      <name val="Arial"/>
      <family val="2"/>
    </font>
    <font>
      <b/>
      <sz val="10"/>
      <color indexed="12"/>
      <name val="Arial"/>
      <family val="2"/>
    </font>
    <font>
      <sz val="10"/>
      <color indexed="23"/>
      <name val="Arial"/>
      <family val="2"/>
    </font>
    <font>
      <sz val="10"/>
      <color indexed="48"/>
      <name val="Arial"/>
      <family val="2"/>
    </font>
    <font>
      <sz val="9"/>
      <name val="Arial"/>
      <family val="2"/>
    </font>
    <font>
      <sz val="9"/>
      <color indexed="23"/>
      <name val="Arial"/>
      <family val="2"/>
    </font>
    <font>
      <sz val="9"/>
      <color indexed="12"/>
      <name val="Arial"/>
      <family val="2"/>
    </font>
    <font>
      <b/>
      <sz val="9"/>
      <color indexed="23"/>
      <name val="Arial"/>
      <family val="2"/>
    </font>
    <font>
      <b/>
      <sz val="9"/>
      <color indexed="10"/>
      <name val="Arial"/>
      <family val="2"/>
    </font>
    <font>
      <b/>
      <sz val="10"/>
      <color indexed="23"/>
      <name val="Arial"/>
      <family val="2"/>
    </font>
    <font>
      <sz val="10"/>
      <color indexed="63"/>
      <name val="Arial"/>
      <family val="2"/>
    </font>
    <font>
      <b/>
      <sz val="9"/>
      <color indexed="20"/>
      <name val="Arial"/>
      <family val="2"/>
    </font>
    <font>
      <b/>
      <sz val="9"/>
      <color indexed="9"/>
      <name val="Arial"/>
      <family val="2"/>
    </font>
    <font>
      <b/>
      <sz val="9"/>
      <color indexed="63"/>
      <name val="Arial"/>
      <family val="2"/>
    </font>
    <font>
      <sz val="9"/>
      <color indexed="55"/>
      <name val="Arial"/>
      <family val="2"/>
    </font>
    <font>
      <sz val="9"/>
      <color indexed="10"/>
      <name val="Arial"/>
      <family val="2"/>
    </font>
    <font>
      <b/>
      <i/>
      <sz val="9"/>
      <name val="Arial"/>
      <family val="2"/>
    </font>
    <font>
      <strike/>
      <sz val="9"/>
      <color indexed="23"/>
      <name val="Arial"/>
      <family val="2"/>
    </font>
    <font>
      <i/>
      <sz val="10"/>
      <name val="Arial"/>
      <family val="2"/>
    </font>
    <font>
      <i/>
      <sz val="10"/>
      <color indexed="10"/>
      <name val="Arial"/>
      <family val="2"/>
    </font>
    <font>
      <sz val="10"/>
      <color indexed="10"/>
      <name val="Arial"/>
      <family val="2"/>
    </font>
    <font>
      <b/>
      <sz val="9"/>
      <color indexed="10"/>
      <name val="Arial Narrow"/>
      <family val="2"/>
    </font>
    <font>
      <sz val="10"/>
      <name val="Arial Narrow"/>
      <family val="2"/>
    </font>
    <font>
      <sz val="9"/>
      <color indexed="8"/>
      <name val="Arial Narrow"/>
      <family val="2"/>
    </font>
    <font>
      <i/>
      <sz val="10"/>
      <color indexed="22"/>
      <name val="Arial"/>
      <family val="2"/>
    </font>
    <font>
      <sz val="10"/>
      <color indexed="8"/>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b/>
      <sz val="10"/>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3"/>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color indexed="63"/>
      </top>
      <bottom style="thin">
        <color indexed="23"/>
      </bottom>
    </border>
    <border>
      <left style="thin">
        <color indexed="22"/>
      </left>
      <right style="thin">
        <color indexed="22"/>
      </right>
      <top style="thin">
        <color indexed="23"/>
      </top>
      <bottom style="thin">
        <color indexed="23"/>
      </bottom>
    </border>
    <border>
      <left>
        <color indexed="63"/>
      </left>
      <right style="thin">
        <color indexed="22"/>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2"/>
      </right>
      <top style="thin">
        <color indexed="2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23"/>
      </left>
      <right>
        <color indexed="63"/>
      </right>
      <top>
        <color indexed="63"/>
      </top>
      <bottom>
        <color indexed="63"/>
      </bottom>
    </border>
    <border>
      <left style="thin">
        <color indexed="22"/>
      </left>
      <right style="thin">
        <color indexed="23"/>
      </right>
      <top style="thin">
        <color indexed="2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2"/>
      </right>
      <top style="thin">
        <color indexed="23"/>
      </top>
      <bottom>
        <color indexed="63"/>
      </bottom>
    </border>
    <border>
      <left style="thin">
        <color indexed="22"/>
      </left>
      <right style="thin">
        <color indexed="22"/>
      </right>
      <top style="thin">
        <color indexed="23"/>
      </top>
      <bottom>
        <color indexed="63"/>
      </bottom>
    </border>
    <border>
      <left style="thin">
        <color indexed="22"/>
      </left>
      <right style="thin">
        <color indexed="23"/>
      </right>
      <top style="thin">
        <color indexed="23"/>
      </top>
      <bottom>
        <color indexed="63"/>
      </bottom>
    </border>
    <border>
      <left>
        <color indexed="63"/>
      </left>
      <right style="thin">
        <color indexed="9"/>
      </right>
      <top style="thin">
        <color indexed="23"/>
      </top>
      <bottom style="thin">
        <color indexed="23"/>
      </bottom>
    </border>
    <border>
      <left style="thin">
        <color indexed="9"/>
      </left>
      <right style="thin">
        <color indexed="9"/>
      </right>
      <top style="thin">
        <color indexed="23"/>
      </top>
      <bottom style="thin">
        <color indexed="23"/>
      </bottom>
    </border>
    <border>
      <left style="thin">
        <color indexed="9"/>
      </left>
      <right style="thin">
        <color indexed="23"/>
      </right>
      <top style="thin">
        <color indexed="23"/>
      </top>
      <bottom style="thin">
        <color indexed="23"/>
      </bottom>
    </border>
    <border>
      <left style="thin"/>
      <right>
        <color indexed="63"/>
      </right>
      <top>
        <color indexed="63"/>
      </top>
      <bottom style="thin">
        <color indexed="23"/>
      </bottom>
    </border>
    <border>
      <left style="thin"/>
      <right>
        <color indexed="63"/>
      </right>
      <top style="thin">
        <color indexed="23"/>
      </top>
      <bottom style="thin">
        <color indexed="23"/>
      </bottom>
    </border>
    <border>
      <left style="thin"/>
      <right>
        <color indexed="63"/>
      </right>
      <top>
        <color indexed="63"/>
      </top>
      <bottom>
        <color indexed="63"/>
      </bottom>
    </border>
    <border>
      <left style="thin"/>
      <right>
        <color indexed="63"/>
      </right>
      <top style="thin">
        <color indexed="23"/>
      </top>
      <bottom>
        <color indexed="63"/>
      </bottom>
    </border>
    <border>
      <left style="thin"/>
      <right style="thin"/>
      <top style="thin"/>
      <bottom style="thin"/>
    </border>
    <border>
      <left style="thin">
        <color indexed="23"/>
      </left>
      <right>
        <color indexed="63"/>
      </right>
      <top style="thin"/>
      <bottom style="thin"/>
    </border>
    <border>
      <left style="thin">
        <color indexed="23"/>
      </left>
      <right>
        <color indexed="63"/>
      </right>
      <top style="thin"/>
      <bottom>
        <color indexed="63"/>
      </bottom>
    </border>
    <border>
      <left style="thin">
        <color indexed="2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thin">
        <color indexed="2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00">
    <xf numFmtId="0" fontId="0" fillId="0" borderId="0" xfId="0" applyAlignment="1">
      <alignment/>
    </xf>
    <xf numFmtId="0" fontId="0" fillId="0" borderId="0" xfId="0" applyNumberFormat="1" applyFont="1" applyFill="1" applyBorder="1" applyAlignment="1" applyProtection="1">
      <alignment horizontal="left" vertical="center"/>
      <protection hidden="1"/>
    </xf>
    <xf numFmtId="0" fontId="6" fillId="33" borderId="10" xfId="0" applyNumberFormat="1" applyFont="1" applyFill="1" applyBorder="1" applyAlignment="1" applyProtection="1">
      <alignment horizontal="center" textRotation="90" wrapText="1"/>
      <protection hidden="1"/>
    </xf>
    <xf numFmtId="0" fontId="6" fillId="33" borderId="11" xfId="0" applyNumberFormat="1" applyFont="1" applyFill="1" applyBorder="1" applyAlignment="1" applyProtection="1">
      <alignment textRotation="90" wrapText="1"/>
      <protection hidden="1"/>
    </xf>
    <xf numFmtId="0" fontId="3" fillId="34" borderId="12" xfId="0" applyNumberFormat="1" applyFont="1" applyFill="1" applyBorder="1" applyAlignment="1" applyProtection="1">
      <alignment/>
      <protection hidden="1"/>
    </xf>
    <xf numFmtId="0" fontId="9" fillId="0" borderId="0" xfId="0" applyNumberFormat="1" applyFont="1" applyAlignment="1" applyProtection="1">
      <alignment horizontal="left"/>
      <protection/>
    </xf>
    <xf numFmtId="0" fontId="5" fillId="34" borderId="13" xfId="0" applyNumberFormat="1" applyFont="1" applyFill="1" applyBorder="1" applyAlignment="1" applyProtection="1">
      <alignment/>
      <protection/>
    </xf>
    <xf numFmtId="0" fontId="8" fillId="35"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hidden="1"/>
    </xf>
    <xf numFmtId="0" fontId="7" fillId="34" borderId="0" xfId="0" applyNumberFormat="1" applyFont="1" applyFill="1" applyBorder="1" applyAlignment="1" applyProtection="1">
      <alignment horizontal="right"/>
      <protection hidden="1"/>
    </xf>
    <xf numFmtId="0" fontId="8" fillId="34" borderId="14" xfId="0" applyNumberFormat="1" applyFont="1" applyFill="1" applyBorder="1" applyAlignment="1" applyProtection="1">
      <alignment horizontal="center" vertical="center" wrapText="1"/>
      <protection hidden="1"/>
    </xf>
    <xf numFmtId="0" fontId="9" fillId="0" borderId="0" xfId="0" applyNumberFormat="1" applyFont="1" applyFill="1" applyBorder="1" applyAlignment="1" applyProtection="1">
      <alignment horizontal="left" vertical="center"/>
      <protection hidden="1"/>
    </xf>
    <xf numFmtId="0" fontId="23" fillId="0" borderId="15" xfId="0" applyNumberFormat="1" applyFont="1" applyFill="1" applyBorder="1" applyAlignment="1" applyProtection="1">
      <alignment horizontal="center" vertical="center"/>
      <protection hidden="1"/>
    </xf>
    <xf numFmtId="0" fontId="23" fillId="0" borderId="12" xfId="0" applyNumberFormat="1" applyFont="1" applyFill="1" applyBorder="1" applyAlignment="1" applyProtection="1">
      <alignment horizontal="center" vertical="center"/>
      <protection hidden="1"/>
    </xf>
    <xf numFmtId="0" fontId="23" fillId="0" borderId="16" xfId="0" applyNumberFormat="1" applyFont="1" applyFill="1" applyBorder="1" applyAlignment="1" applyProtection="1">
      <alignment horizontal="center" vertical="center"/>
      <protection hidden="1"/>
    </xf>
    <xf numFmtId="0" fontId="23" fillId="0" borderId="17" xfId="0" applyNumberFormat="1" applyFont="1" applyFill="1" applyBorder="1" applyAlignment="1" applyProtection="1">
      <alignment horizontal="center" vertical="center" wrapText="1"/>
      <protection hidden="1"/>
    </xf>
    <xf numFmtId="0" fontId="26" fillId="0" borderId="11" xfId="0" applyNumberFormat="1" applyFont="1" applyFill="1" applyBorder="1" applyAlignment="1" applyProtection="1">
      <alignment horizontal="center" vertical="center" wrapText="1"/>
      <protection hidden="1"/>
    </xf>
    <xf numFmtId="0" fontId="23" fillId="0" borderId="11" xfId="0" applyNumberFormat="1" applyFont="1" applyFill="1" applyBorder="1" applyAlignment="1" applyProtection="1">
      <alignment horizontal="center" vertical="center" wrapText="1"/>
      <protection hidden="1"/>
    </xf>
    <xf numFmtId="0" fontId="20" fillId="0" borderId="0" xfId="0" applyNumberFormat="1" applyFont="1" applyFill="1" applyBorder="1" applyAlignment="1" applyProtection="1">
      <alignment horizontal="center" vertical="center" wrapText="1"/>
      <protection hidden="1"/>
    </xf>
    <xf numFmtId="0" fontId="23" fillId="0" borderId="11" xfId="0" applyNumberFormat="1" applyFont="1" applyBorder="1" applyAlignment="1" applyProtection="1">
      <alignment horizontal="center" vertical="center" wrapText="1"/>
      <protection/>
    </xf>
    <xf numFmtId="0" fontId="23" fillId="0" borderId="17" xfId="0" applyNumberFormat="1" applyFont="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protection hidden="1"/>
    </xf>
    <xf numFmtId="0" fontId="20" fillId="0" borderId="12" xfId="0" applyNumberFormat="1" applyFont="1" applyFill="1" applyBorder="1" applyAlignment="1" applyProtection="1">
      <alignment horizontal="center" vertical="center" wrapText="1"/>
      <protection hidden="1"/>
    </xf>
    <xf numFmtId="0" fontId="0" fillId="0" borderId="12" xfId="0" applyNumberFormat="1" applyFont="1" applyFill="1" applyBorder="1" applyAlignment="1" applyProtection="1">
      <alignment horizontal="center" wrapText="1"/>
      <protection/>
    </xf>
    <xf numFmtId="0" fontId="32" fillId="0" borderId="11" xfId="0" applyNumberFormat="1" applyFont="1" applyFill="1" applyBorder="1" applyAlignment="1" applyProtection="1">
      <alignment horizontal="center" vertical="center" wrapText="1"/>
      <protection hidden="1"/>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hidden="1"/>
    </xf>
    <xf numFmtId="0" fontId="23" fillId="0" borderId="19" xfId="0" applyNumberFormat="1" applyFont="1" applyFill="1" applyBorder="1" applyAlignment="1" applyProtection="1">
      <alignment horizontal="center" vertical="center" wrapText="1"/>
      <protection hidden="1"/>
    </xf>
    <xf numFmtId="0" fontId="20" fillId="0" borderId="20" xfId="0" applyNumberFormat="1" applyFont="1" applyFill="1" applyBorder="1" applyAlignment="1" applyProtection="1">
      <alignment horizontal="center" vertical="center" wrapText="1"/>
      <protection hidden="1"/>
    </xf>
    <xf numFmtId="0" fontId="20" fillId="0" borderId="13" xfId="0" applyNumberFormat="1" applyFont="1" applyFill="1" applyBorder="1" applyAlignment="1" applyProtection="1">
      <alignment horizontal="center" vertical="center" wrapText="1"/>
      <protection hidden="1"/>
    </xf>
    <xf numFmtId="0" fontId="23" fillId="0" borderId="13" xfId="0" applyNumberFormat="1" applyFont="1" applyFill="1" applyBorder="1" applyAlignment="1" applyProtection="1">
      <alignment horizontal="center" vertical="center" wrapText="1"/>
      <protection hidden="1"/>
    </xf>
    <xf numFmtId="0" fontId="20" fillId="0" borderId="10" xfId="0" applyNumberFormat="1" applyFont="1" applyFill="1" applyBorder="1" applyAlignment="1" applyProtection="1">
      <alignment horizontal="center" vertical="center" wrapText="1"/>
      <protection hidden="1"/>
    </xf>
    <xf numFmtId="0" fontId="25" fillId="0" borderId="11" xfId="0" applyNumberFormat="1" applyFont="1" applyFill="1" applyBorder="1" applyAlignment="1" applyProtection="1">
      <alignment horizontal="center" vertical="center" wrapText="1"/>
      <protection hidden="1"/>
    </xf>
    <xf numFmtId="0" fontId="35" fillId="0" borderId="11" xfId="0" applyNumberFormat="1" applyFont="1" applyFill="1" applyBorder="1" applyAlignment="1" applyProtection="1">
      <alignment horizontal="center" vertical="center" wrapText="1"/>
      <protection hidden="1"/>
    </xf>
    <xf numFmtId="0" fontId="22" fillId="0" borderId="0" xfId="0" applyFont="1" applyFill="1" applyBorder="1" applyAlignment="1" applyProtection="1">
      <alignment horizontal="right"/>
      <protection hidden="1"/>
    </xf>
    <xf numFmtId="1" fontId="22" fillId="0" borderId="0" xfId="0" applyNumberFormat="1" applyFont="1" applyFill="1" applyBorder="1" applyAlignment="1" applyProtection="1">
      <alignment horizontal="center"/>
      <protection hidden="1"/>
    </xf>
    <xf numFmtId="1" fontId="22" fillId="0" borderId="11" xfId="0" applyNumberFormat="1" applyFont="1" applyFill="1" applyBorder="1" applyAlignment="1" applyProtection="1">
      <alignment horizontal="center" vertical="center" wrapText="1"/>
      <protection hidden="1"/>
    </xf>
    <xf numFmtId="1" fontId="22" fillId="0" borderId="21" xfId="0" applyNumberFormat="1" applyFont="1" applyFill="1" applyBorder="1" applyAlignment="1" applyProtection="1">
      <alignment horizontal="center" vertical="center" wrapText="1"/>
      <protection hidden="1"/>
    </xf>
    <xf numFmtId="0" fontId="36" fillId="0" borderId="0" xfId="0" applyNumberFormat="1" applyFont="1" applyFill="1" applyBorder="1" applyAlignment="1" applyProtection="1">
      <alignment horizontal="left" vertical="top"/>
      <protection/>
    </xf>
    <xf numFmtId="0" fontId="13" fillId="0" borderId="22" xfId="0" applyNumberFormat="1" applyFont="1" applyFill="1" applyBorder="1" applyAlignment="1" applyProtection="1">
      <alignment horizontal="left" vertical="center"/>
      <protection hidden="1"/>
    </xf>
    <xf numFmtId="0" fontId="0" fillId="0" borderId="0" xfId="0" applyNumberFormat="1" applyFont="1" applyBorder="1" applyAlignment="1" applyProtection="1">
      <alignment wrapText="1"/>
      <protection hidden="1"/>
    </xf>
    <xf numFmtId="0" fontId="0" fillId="35" borderId="0" xfId="0" applyNumberFormat="1" applyFont="1" applyFill="1" applyBorder="1" applyAlignment="1" applyProtection="1">
      <alignment/>
      <protection hidden="1"/>
    </xf>
    <xf numFmtId="0" fontId="0" fillId="35" borderId="0" xfId="0" applyNumberFormat="1" applyFont="1" applyFill="1" applyAlignment="1" applyProtection="1">
      <alignment/>
      <protection hidden="1"/>
    </xf>
    <xf numFmtId="0" fontId="4" fillId="0" borderId="23" xfId="0" applyNumberFormat="1" applyFont="1" applyFill="1" applyBorder="1" applyAlignment="1" applyProtection="1">
      <alignment horizontal="centerContinuous" vertical="center" wrapText="1"/>
      <protection hidden="1"/>
    </xf>
    <xf numFmtId="0" fontId="14" fillId="0" borderId="24" xfId="0" applyNumberFormat="1" applyFont="1" applyFill="1" applyBorder="1" applyAlignment="1" applyProtection="1">
      <alignment horizontal="centerContinuous" vertical="center" wrapText="1"/>
      <protection hidden="1"/>
    </xf>
    <xf numFmtId="0" fontId="9" fillId="0" borderId="0" xfId="0" applyNumberFormat="1" applyFont="1" applyAlignment="1" applyProtection="1">
      <alignment/>
      <protection hidden="1"/>
    </xf>
    <xf numFmtId="0" fontId="0" fillId="0" borderId="0" xfId="0" applyNumberFormat="1" applyFont="1" applyAlignment="1" applyProtection="1">
      <alignment wrapText="1"/>
      <protection hidden="1"/>
    </xf>
    <xf numFmtId="0" fontId="0" fillId="0" borderId="0" xfId="0" applyNumberFormat="1" applyFont="1" applyBorder="1" applyAlignment="1" applyProtection="1">
      <alignment horizontal="left" wrapText="1"/>
      <protection hidden="1"/>
    </xf>
    <xf numFmtId="0" fontId="0" fillId="0" borderId="0" xfId="0" applyNumberFormat="1" applyFont="1" applyFill="1" applyAlignment="1" applyProtection="1">
      <alignment wrapText="1"/>
      <protection hidden="1"/>
    </xf>
    <xf numFmtId="0" fontId="0" fillId="35" borderId="0" xfId="0" applyNumberFormat="1" applyFont="1" applyFill="1" applyAlignment="1" applyProtection="1">
      <alignment horizontal="center" wrapText="1"/>
      <protection hidden="1"/>
    </xf>
    <xf numFmtId="0" fontId="9"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Border="1" applyAlignment="1" applyProtection="1">
      <alignment horizontal="left" vertical="center" wrapText="1"/>
      <protection hidden="1"/>
    </xf>
    <xf numFmtId="0" fontId="18" fillId="0" borderId="19" xfId="0" applyNumberFormat="1" applyFont="1" applyFill="1" applyBorder="1" applyAlignment="1" applyProtection="1">
      <alignment horizontal="center" vertical="justify" textRotation="90" wrapText="1"/>
      <protection hidden="1"/>
    </xf>
    <xf numFmtId="0" fontId="0" fillId="0" borderId="0" xfId="0" applyNumberFormat="1" applyFont="1" applyAlignment="1" applyProtection="1">
      <alignment/>
      <protection/>
    </xf>
    <xf numFmtId="0" fontId="0" fillId="0" borderId="0" xfId="0" applyNumberFormat="1" applyFont="1" applyAlignment="1" applyProtection="1">
      <alignment wrapText="1"/>
      <protection/>
    </xf>
    <xf numFmtId="0" fontId="0" fillId="0" borderId="0" xfId="0" applyNumberFormat="1" applyFont="1" applyBorder="1" applyAlignment="1" applyProtection="1">
      <alignment wrapText="1"/>
      <protection/>
    </xf>
    <xf numFmtId="0" fontId="10" fillId="36" borderId="11" xfId="0" applyNumberFormat="1" applyFont="1" applyFill="1" applyBorder="1" applyAlignment="1" applyProtection="1">
      <alignment vertical="top"/>
      <protection hidden="1"/>
    </xf>
    <xf numFmtId="0" fontId="10" fillId="36" borderId="12" xfId="0" applyNumberFormat="1" applyFont="1" applyFill="1" applyBorder="1" applyAlignment="1" applyProtection="1">
      <alignment vertical="top"/>
      <protection hidden="1"/>
    </xf>
    <xf numFmtId="0" fontId="10" fillId="36" borderId="12" xfId="0" applyNumberFormat="1" applyFont="1" applyFill="1" applyBorder="1" applyAlignment="1" applyProtection="1">
      <alignment horizontal="center" vertical="top"/>
      <protection hidden="1"/>
    </xf>
    <xf numFmtId="0" fontId="0" fillId="36" borderId="17" xfId="0" applyNumberFormat="1" applyFont="1" applyFill="1" applyBorder="1" applyAlignment="1" applyProtection="1">
      <alignment wrapText="1"/>
      <protection/>
    </xf>
    <xf numFmtId="0" fontId="9" fillId="0" borderId="0" xfId="0" applyNumberFormat="1" applyFont="1" applyAlignment="1" applyProtection="1">
      <alignment wrapText="1"/>
      <protection/>
    </xf>
    <xf numFmtId="0" fontId="19" fillId="0" borderId="0" xfId="0" applyNumberFormat="1" applyFont="1" applyAlignment="1" applyProtection="1">
      <alignment horizontal="right" wrapText="1"/>
      <protection/>
    </xf>
    <xf numFmtId="0" fontId="0" fillId="0" borderId="25"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wrapText="1"/>
      <protection/>
    </xf>
    <xf numFmtId="0" fontId="6" fillId="33" borderId="11" xfId="0" applyNumberFormat="1" applyFont="1" applyFill="1" applyBorder="1" applyAlignment="1" applyProtection="1">
      <alignment vertical="center"/>
      <protection/>
    </xf>
    <xf numFmtId="0" fontId="20" fillId="0" borderId="12" xfId="0" applyNumberFormat="1" applyFont="1" applyFill="1" applyBorder="1" applyAlignment="1" applyProtection="1">
      <alignment horizontal="center" vertical="center"/>
      <protection hidden="1"/>
    </xf>
    <xf numFmtId="0" fontId="20" fillId="0" borderId="17" xfId="0" applyNumberFormat="1" applyFont="1" applyFill="1" applyBorder="1" applyAlignment="1" applyProtection="1">
      <alignment horizontal="center" vertical="center"/>
      <protection hidden="1"/>
    </xf>
    <xf numFmtId="0" fontId="21" fillId="0" borderId="0" xfId="0" applyNumberFormat="1" applyFont="1" applyAlignment="1" applyProtection="1">
      <alignment wrapText="1"/>
      <protection/>
    </xf>
    <xf numFmtId="0" fontId="9" fillId="0" borderId="0" xfId="0" applyNumberFormat="1" applyFont="1" applyAlignment="1" applyProtection="1">
      <alignment horizontal="right" wrapText="1"/>
      <protection/>
    </xf>
    <xf numFmtId="0" fontId="9" fillId="0" borderId="0" xfId="0" applyNumberFormat="1" applyFont="1" applyFill="1" applyAlignment="1" applyProtection="1">
      <alignment wrapText="1"/>
      <protection/>
    </xf>
    <xf numFmtId="0" fontId="0" fillId="0" borderId="0" xfId="0" applyNumberFormat="1" applyFont="1" applyFill="1" applyAlignment="1" applyProtection="1">
      <alignment wrapText="1"/>
      <protection/>
    </xf>
    <xf numFmtId="0" fontId="0" fillId="0"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wrapText="1"/>
      <protection/>
    </xf>
    <xf numFmtId="0" fontId="22" fillId="33" borderId="11" xfId="0" applyNumberFormat="1" applyFont="1" applyFill="1" applyBorder="1" applyAlignment="1" applyProtection="1">
      <alignment horizontal="center" vertical="center"/>
      <protection/>
    </xf>
    <xf numFmtId="0" fontId="23" fillId="0" borderId="26" xfId="0" applyNumberFormat="1" applyFont="1" applyFill="1" applyBorder="1" applyAlignment="1" applyProtection="1">
      <alignment horizontal="center" vertical="center"/>
      <protection hidden="1"/>
    </xf>
    <xf numFmtId="0" fontId="0" fillId="0" borderId="14" xfId="0" applyNumberFormat="1" applyFont="1" applyFill="1" applyBorder="1" applyAlignment="1" applyProtection="1">
      <alignment wrapText="1"/>
      <protection/>
    </xf>
    <xf numFmtId="0" fontId="0" fillId="0" borderId="14" xfId="0" applyNumberFormat="1" applyFont="1" applyFill="1" applyBorder="1" applyAlignment="1" applyProtection="1">
      <alignment horizontal="center" wrapText="1"/>
      <protection/>
    </xf>
    <xf numFmtId="0" fontId="0" fillId="0" borderId="25" xfId="0" applyNumberFormat="1" applyFont="1" applyBorder="1" applyAlignment="1" applyProtection="1">
      <alignment wrapText="1"/>
      <protection/>
    </xf>
    <xf numFmtId="0" fontId="0" fillId="0" borderId="10" xfId="0" applyNumberFormat="1" applyFont="1" applyBorder="1" applyAlignment="1" applyProtection="1">
      <alignment wrapText="1"/>
      <protection/>
    </xf>
    <xf numFmtId="0" fontId="0" fillId="0" borderId="10" xfId="0" applyNumberFormat="1" applyFont="1" applyBorder="1" applyAlignment="1" applyProtection="1">
      <alignment horizontal="center" wrapText="1"/>
      <protection/>
    </xf>
    <xf numFmtId="0" fontId="23" fillId="0" borderId="17"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right" wrapText="1"/>
      <protection/>
    </xf>
    <xf numFmtId="0" fontId="0" fillId="0" borderId="0" xfId="0" applyNumberFormat="1" applyFont="1" applyBorder="1" applyAlignment="1" applyProtection="1">
      <alignment horizontal="center" wrapText="1"/>
      <protection/>
    </xf>
    <xf numFmtId="0" fontId="0" fillId="0" borderId="0" xfId="0" applyNumberFormat="1" applyFont="1" applyAlignment="1" applyProtection="1">
      <alignment horizontal="right" wrapText="1"/>
      <protection/>
    </xf>
    <xf numFmtId="0" fontId="22" fillId="33" borderId="21"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hidden="1"/>
    </xf>
    <xf numFmtId="0" fontId="23" fillId="0" borderId="20" xfId="0" applyNumberFormat="1" applyFont="1" applyFill="1" applyBorder="1" applyAlignment="1" applyProtection="1">
      <alignment horizontal="center" vertical="center"/>
      <protection hidden="1"/>
    </xf>
    <xf numFmtId="0" fontId="0" fillId="0" borderId="0" xfId="0" applyNumberFormat="1" applyFont="1" applyAlignment="1" applyProtection="1">
      <alignment horizontal="left" wrapText="1"/>
      <protection/>
    </xf>
    <xf numFmtId="0" fontId="22" fillId="33" borderId="27"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hidden="1"/>
    </xf>
    <xf numFmtId="0" fontId="23" fillId="0" borderId="28" xfId="0" applyNumberFormat="1" applyFont="1" applyFill="1" applyBorder="1" applyAlignment="1" applyProtection="1">
      <alignment horizontal="center" vertical="center"/>
      <protection hidden="1"/>
    </xf>
    <xf numFmtId="0" fontId="22" fillId="33" borderId="19"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protection hidden="1"/>
    </xf>
    <xf numFmtId="0" fontId="23" fillId="0" borderId="29" xfId="0" applyNumberFormat="1" applyFont="1" applyFill="1" applyBorder="1" applyAlignment="1" applyProtection="1">
      <alignment horizontal="center" vertical="center"/>
      <protection hidden="1"/>
    </xf>
    <xf numFmtId="0" fontId="24" fillId="0" borderId="30" xfId="0" applyNumberFormat="1" applyFont="1" applyFill="1" applyBorder="1" applyAlignment="1" applyProtection="1">
      <alignment horizontal="center" vertical="center"/>
      <protection hidden="1"/>
    </xf>
    <xf numFmtId="0" fontId="24" fillId="0" borderId="25" xfId="0" applyNumberFormat="1" applyFont="1" applyFill="1" applyBorder="1" applyAlignment="1" applyProtection="1">
      <alignment horizontal="center" vertical="center"/>
      <protection hidden="1"/>
    </xf>
    <xf numFmtId="0" fontId="0" fillId="0" borderId="31" xfId="0" applyNumberFormat="1" applyFont="1" applyBorder="1" applyAlignment="1" applyProtection="1">
      <alignment wrapText="1"/>
      <protection/>
    </xf>
    <xf numFmtId="0" fontId="0" fillId="0" borderId="14" xfId="0" applyNumberFormat="1" applyFont="1" applyBorder="1" applyAlignment="1" applyProtection="1">
      <alignment wrapText="1"/>
      <protection/>
    </xf>
    <xf numFmtId="0" fontId="0" fillId="0" borderId="14" xfId="0" applyNumberFormat="1" applyFont="1" applyBorder="1" applyAlignment="1" applyProtection="1">
      <alignment horizontal="center" wrapText="1"/>
      <protection/>
    </xf>
    <xf numFmtId="0" fontId="24" fillId="0" borderId="31" xfId="0" applyNumberFormat="1" applyFont="1" applyFill="1" applyBorder="1" applyAlignment="1" applyProtection="1">
      <alignment horizontal="center" vertical="center"/>
      <protection hidden="1"/>
    </xf>
    <xf numFmtId="0" fontId="0" fillId="0" borderId="0" xfId="0" applyNumberFormat="1" applyFont="1" applyFill="1" applyAlignment="1" applyProtection="1">
      <alignment/>
      <protection/>
    </xf>
    <xf numFmtId="0" fontId="23" fillId="0" borderId="32" xfId="0" applyNumberFormat="1" applyFont="1" applyFill="1" applyBorder="1" applyAlignment="1" applyProtection="1">
      <alignment horizontal="center" vertical="center"/>
      <protection hidden="1"/>
    </xf>
    <xf numFmtId="0" fontId="23" fillId="0" borderId="33" xfId="0" applyNumberFormat="1" applyFont="1" applyFill="1" applyBorder="1" applyAlignment="1" applyProtection="1">
      <alignment horizontal="center" vertical="center"/>
      <protection hidden="1"/>
    </xf>
    <xf numFmtId="0" fontId="23" fillId="0" borderId="34" xfId="0" applyNumberFormat="1" applyFont="1" applyFill="1" applyBorder="1" applyAlignment="1" applyProtection="1">
      <alignment horizontal="center" vertical="center"/>
      <protection hidden="1"/>
    </xf>
    <xf numFmtId="0" fontId="22" fillId="0" borderId="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center" vertical="center"/>
      <protection/>
    </xf>
    <xf numFmtId="0" fontId="0" fillId="36" borderId="12" xfId="0" applyNumberFormat="1" applyFont="1" applyFill="1" applyBorder="1" applyAlignment="1" applyProtection="1">
      <alignment wrapText="1"/>
      <protection/>
    </xf>
    <xf numFmtId="0" fontId="0" fillId="36" borderId="12" xfId="0" applyNumberFormat="1" applyFont="1" applyFill="1" applyBorder="1" applyAlignment="1" applyProtection="1">
      <alignment horizontal="center" wrapText="1"/>
      <protection/>
    </xf>
    <xf numFmtId="0" fontId="25" fillId="0" borderId="17" xfId="0" applyNumberFormat="1" applyFont="1" applyFill="1" applyBorder="1" applyAlignment="1" applyProtection="1">
      <alignment horizontal="center" vertical="center" wrapText="1"/>
      <protection hidden="1"/>
    </xf>
    <xf numFmtId="0" fontId="25"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wrapText="1"/>
      <protection/>
    </xf>
    <xf numFmtId="0" fontId="22" fillId="0" borderId="29" xfId="0" applyNumberFormat="1" applyFont="1" applyFill="1" applyBorder="1" applyAlignment="1" applyProtection="1">
      <alignment horizontal="right" vertical="top"/>
      <protection hidden="1"/>
    </xf>
    <xf numFmtId="0" fontId="20" fillId="0" borderId="28" xfId="0" applyNumberFormat="1" applyFont="1" applyFill="1" applyBorder="1" applyAlignment="1" applyProtection="1">
      <alignment horizontal="center" vertical="center" wrapText="1"/>
      <protection hidden="1"/>
    </xf>
    <xf numFmtId="0" fontId="0" fillId="35" borderId="0" xfId="0" applyNumberFormat="1" applyFont="1" applyFill="1" applyAlignment="1" applyProtection="1">
      <alignment wrapText="1"/>
      <protection/>
    </xf>
    <xf numFmtId="0" fontId="27" fillId="0" borderId="12" xfId="0" applyNumberFormat="1" applyFont="1" applyFill="1" applyBorder="1" applyAlignment="1" applyProtection="1">
      <alignment horizontal="center" vertical="center" wrapText="1"/>
      <protection hidden="1"/>
    </xf>
    <xf numFmtId="0" fontId="27" fillId="0" borderId="17" xfId="0" applyNumberFormat="1" applyFont="1" applyFill="1" applyBorder="1" applyAlignment="1" applyProtection="1">
      <alignment horizontal="center" vertical="center" wrapText="1"/>
      <protection hidden="1"/>
    </xf>
    <xf numFmtId="0" fontId="28" fillId="0" borderId="0" xfId="0" applyNumberFormat="1" applyFont="1" applyBorder="1" applyAlignment="1" applyProtection="1">
      <alignment wrapText="1"/>
      <protection/>
    </xf>
    <xf numFmtId="0" fontId="22" fillId="0" borderId="17" xfId="0" applyNumberFormat="1" applyFont="1" applyFill="1" applyBorder="1" applyAlignment="1" applyProtection="1">
      <alignment horizontal="right" vertical="center"/>
      <protection hidden="1"/>
    </xf>
    <xf numFmtId="0" fontId="20" fillId="0" borderId="17"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wrapText="1"/>
      <protection/>
    </xf>
    <xf numFmtId="0" fontId="30" fillId="0" borderId="14" xfId="0" applyNumberFormat="1" applyFont="1" applyFill="1" applyBorder="1" applyAlignment="1" applyProtection="1">
      <alignment horizontal="center" vertical="center" wrapText="1"/>
      <protection hidden="1"/>
    </xf>
    <xf numFmtId="0" fontId="30" fillId="0" borderId="29"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horizontal="center" wrapText="1"/>
      <protection/>
    </xf>
    <xf numFmtId="0" fontId="31" fillId="0" borderId="12" xfId="0" applyNumberFormat="1" applyFont="1" applyFill="1" applyBorder="1" applyAlignment="1" applyProtection="1">
      <alignment horizontal="center" vertical="center" wrapText="1"/>
      <protection hidden="1"/>
    </xf>
    <xf numFmtId="0" fontId="31" fillId="0" borderId="17" xfId="0" applyNumberFormat="1" applyFont="1" applyFill="1" applyBorder="1" applyAlignment="1" applyProtection="1">
      <alignment horizontal="center" vertical="center" wrapText="1"/>
      <protection hidden="1"/>
    </xf>
    <xf numFmtId="0" fontId="23" fillId="0" borderId="13" xfId="0" applyNumberFormat="1" applyFont="1" applyFill="1" applyBorder="1" applyAlignment="1" applyProtection="1">
      <alignment vertical="center" wrapText="1"/>
      <protection/>
    </xf>
    <xf numFmtId="0" fontId="23" fillId="0" borderId="12" xfId="0" applyNumberFormat="1" applyFont="1" applyFill="1" applyBorder="1" applyAlignment="1" applyProtection="1">
      <alignment vertical="center" wrapText="1"/>
      <protection/>
    </xf>
    <xf numFmtId="0" fontId="32" fillId="0" borderId="17" xfId="0" applyNumberFormat="1" applyFont="1" applyFill="1" applyBorder="1" applyAlignment="1" applyProtection="1">
      <alignment horizontal="center" vertical="center" wrapText="1"/>
      <protection hidden="1"/>
    </xf>
    <xf numFmtId="0" fontId="22" fillId="0" borderId="0" xfId="0" applyNumberFormat="1" applyFont="1" applyFill="1" applyBorder="1" applyAlignment="1" applyProtection="1">
      <alignment horizontal="right" vertical="center"/>
      <protection hidden="1"/>
    </xf>
    <xf numFmtId="0" fontId="27" fillId="0" borderId="0" xfId="0" applyNumberFormat="1" applyFont="1" applyFill="1" applyBorder="1" applyAlignment="1" applyProtection="1">
      <alignment horizontal="center" vertical="center" wrapText="1"/>
      <protection hidden="1"/>
    </xf>
    <xf numFmtId="0" fontId="27" fillId="0" borderId="28" xfId="0" applyNumberFormat="1" applyFont="1" applyFill="1" applyBorder="1" applyAlignment="1" applyProtection="1">
      <alignment horizontal="center" vertical="center" wrapText="1"/>
      <protection hidden="1"/>
    </xf>
    <xf numFmtId="0" fontId="22" fillId="35" borderId="0" xfId="0" applyNumberFormat="1" applyFont="1" applyFill="1" applyBorder="1" applyAlignment="1" applyProtection="1">
      <alignment horizontal="center" vertical="center" wrapText="1"/>
      <protection/>
    </xf>
    <xf numFmtId="0" fontId="22" fillId="35" borderId="28"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2" fillId="0" borderId="28" xfId="0" applyNumberFormat="1" applyFont="1" applyFill="1" applyBorder="1" applyAlignment="1" applyProtection="1">
      <alignment horizontal="left" vertical="center" indent="1"/>
      <protection hidden="1"/>
    </xf>
    <xf numFmtId="0" fontId="22" fillId="0" borderId="29" xfId="0" applyNumberFormat="1" applyFont="1" applyFill="1" applyBorder="1" applyAlignment="1" applyProtection="1">
      <alignment horizontal="left" vertical="center" indent="1"/>
      <protection hidden="1"/>
    </xf>
    <xf numFmtId="0" fontId="22" fillId="0" borderId="28" xfId="0" applyNumberFormat="1" applyFont="1" applyFill="1" applyBorder="1" applyAlignment="1" applyProtection="1">
      <alignment horizontal="right" vertical="center"/>
      <protection hidden="1"/>
    </xf>
    <xf numFmtId="0" fontId="6" fillId="33" borderId="21" xfId="0" applyNumberFormat="1" applyFont="1" applyFill="1" applyBorder="1" applyAlignment="1" applyProtection="1">
      <alignment horizontal="center" vertical="center"/>
      <protection/>
    </xf>
    <xf numFmtId="0" fontId="27" fillId="0" borderId="10" xfId="0" applyNumberFormat="1" applyFont="1" applyFill="1" applyBorder="1" applyAlignment="1" applyProtection="1">
      <alignment horizontal="center" vertical="center" wrapText="1"/>
      <protection hidden="1"/>
    </xf>
    <xf numFmtId="0" fontId="27" fillId="0" borderId="20" xfId="0" applyNumberFormat="1" applyFont="1" applyFill="1" applyBorder="1" applyAlignment="1" applyProtection="1">
      <alignment horizontal="center" vertical="center" wrapText="1"/>
      <protection hidden="1"/>
    </xf>
    <xf numFmtId="0" fontId="23" fillId="0" borderId="29" xfId="0" applyNumberFormat="1" applyFont="1" applyFill="1" applyBorder="1" applyAlignment="1" applyProtection="1">
      <alignment horizontal="center" vertical="center" wrapText="1"/>
      <protection hidden="1"/>
    </xf>
    <xf numFmtId="0" fontId="0" fillId="36" borderId="0" xfId="0" applyNumberFormat="1" applyFont="1" applyFill="1" applyBorder="1" applyAlignment="1" applyProtection="1">
      <alignment wrapText="1"/>
      <protection/>
    </xf>
    <xf numFmtId="0" fontId="0" fillId="36" borderId="0" xfId="0" applyNumberFormat="1" applyFont="1" applyFill="1" applyBorder="1" applyAlignment="1" applyProtection="1">
      <alignment horizontal="center" wrapText="1"/>
      <protection/>
    </xf>
    <xf numFmtId="0" fontId="22" fillId="0" borderId="17" xfId="0" applyNumberFormat="1" applyFont="1" applyFill="1" applyBorder="1" applyAlignment="1" applyProtection="1">
      <alignment horizontal="right" vertical="top"/>
      <protection hidden="1"/>
    </xf>
    <xf numFmtId="0" fontId="0" fillId="36" borderId="10" xfId="0" applyNumberFormat="1" applyFont="1" applyFill="1" applyBorder="1" applyAlignment="1" applyProtection="1">
      <alignment wrapText="1"/>
      <protection/>
    </xf>
    <xf numFmtId="0" fontId="0" fillId="36" borderId="10" xfId="0" applyNumberFormat="1" applyFont="1" applyFill="1" applyBorder="1" applyAlignment="1" applyProtection="1">
      <alignment horizontal="center" wrapText="1"/>
      <protection/>
    </xf>
    <xf numFmtId="0" fontId="22" fillId="33" borderId="17" xfId="0" applyNumberFormat="1" applyFont="1" applyFill="1" applyBorder="1" applyAlignment="1" applyProtection="1">
      <alignment horizontal="center" vertical="center"/>
      <protection/>
    </xf>
    <xf numFmtId="0" fontId="22" fillId="0" borderId="20" xfId="0" applyNumberFormat="1" applyFont="1" applyFill="1" applyBorder="1" applyAlignment="1" applyProtection="1">
      <alignment horizontal="right" vertical="top"/>
      <protection hidden="1"/>
    </xf>
    <xf numFmtId="0" fontId="0" fillId="36" borderId="20" xfId="0" applyNumberFormat="1" applyFont="1" applyFill="1" applyBorder="1" applyAlignment="1" applyProtection="1">
      <alignment wrapText="1"/>
      <protection/>
    </xf>
    <xf numFmtId="0" fontId="0" fillId="0" borderId="0" xfId="0" applyNumberFormat="1" applyFont="1" applyAlignment="1" applyProtection="1">
      <alignment horizontal="center" wrapText="1"/>
      <protection/>
    </xf>
    <xf numFmtId="0" fontId="22" fillId="0" borderId="20" xfId="0" applyNumberFormat="1" applyFont="1" applyFill="1" applyBorder="1" applyAlignment="1" applyProtection="1">
      <alignment horizontal="right" vertical="center"/>
      <protection hidden="1"/>
    </xf>
    <xf numFmtId="0" fontId="22" fillId="0" borderId="0" xfId="0" applyNumberFormat="1" applyFont="1" applyFill="1" applyBorder="1" applyAlignment="1" applyProtection="1">
      <alignment vertical="center" wrapText="1"/>
      <protection/>
    </xf>
    <xf numFmtId="0" fontId="23" fillId="0" borderId="31" xfId="0" applyNumberFormat="1" applyFont="1" applyFill="1" applyBorder="1" applyAlignment="1" applyProtection="1">
      <alignment horizontal="center" vertical="center" wrapText="1"/>
      <protection hidden="1"/>
    </xf>
    <xf numFmtId="0" fontId="23" fillId="0" borderId="14" xfId="0" applyNumberFormat="1" applyFont="1" applyFill="1" applyBorder="1" applyAlignment="1" applyProtection="1">
      <alignment horizontal="center" vertical="center" wrapText="1"/>
      <protection hidden="1"/>
    </xf>
    <xf numFmtId="0" fontId="35" fillId="0" borderId="17" xfId="0" applyNumberFormat="1" applyFont="1" applyFill="1" applyBorder="1" applyAlignment="1" applyProtection="1">
      <alignment horizontal="center" vertical="center" wrapText="1"/>
      <protection hidden="1"/>
    </xf>
    <xf numFmtId="0" fontId="0" fillId="0" borderId="12" xfId="0" applyNumberFormat="1" applyFont="1" applyBorder="1" applyAlignment="1" applyProtection="1">
      <alignment wrapText="1"/>
      <protection/>
    </xf>
    <xf numFmtId="0" fontId="0" fillId="0" borderId="12" xfId="0" applyNumberFormat="1" applyFont="1" applyBorder="1" applyAlignment="1" applyProtection="1">
      <alignment horizontal="center" wrapText="1"/>
      <protection/>
    </xf>
    <xf numFmtId="0" fontId="27" fillId="0" borderId="35" xfId="0" applyNumberFormat="1" applyFont="1" applyFill="1" applyBorder="1" applyAlignment="1" applyProtection="1">
      <alignment horizontal="center" vertical="center" wrapText="1"/>
      <protection hidden="1"/>
    </xf>
    <xf numFmtId="0" fontId="27" fillId="0" borderId="36" xfId="0" applyNumberFormat="1" applyFont="1" applyFill="1" applyBorder="1" applyAlignment="1" applyProtection="1">
      <alignment horizontal="center" vertical="center" wrapText="1"/>
      <protection hidden="1"/>
    </xf>
    <xf numFmtId="0" fontId="27" fillId="0" borderId="37" xfId="0" applyNumberFormat="1" applyFont="1" applyFill="1" applyBorder="1" applyAlignment="1" applyProtection="1">
      <alignment horizontal="center" vertical="center" wrapText="1"/>
      <protection hidden="1"/>
    </xf>
    <xf numFmtId="0" fontId="26" fillId="0" borderId="17"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hidden="1"/>
    </xf>
    <xf numFmtId="0" fontId="22" fillId="35" borderId="11" xfId="0" applyNumberFormat="1" applyFont="1" applyFill="1" applyBorder="1" applyAlignment="1" applyProtection="1">
      <alignment horizontal="center" vertical="center" wrapText="1"/>
      <protection hidden="1"/>
    </xf>
    <xf numFmtId="0" fontId="22" fillId="35" borderId="0" xfId="0" applyNumberFormat="1" applyFont="1" applyFill="1" applyBorder="1" applyAlignment="1" applyProtection="1">
      <alignment horizontal="center" vertical="center" wrapText="1"/>
      <protection hidden="1"/>
    </xf>
    <xf numFmtId="0" fontId="22" fillId="0" borderId="0" xfId="0" applyNumberFormat="1" applyFont="1" applyFill="1" applyBorder="1" applyAlignment="1" applyProtection="1">
      <alignment horizontal="center" vertical="center" wrapText="1"/>
      <protection hidden="1"/>
    </xf>
    <xf numFmtId="0" fontId="0" fillId="34" borderId="12" xfId="0" applyNumberFormat="1" applyFont="1" applyFill="1" applyBorder="1" applyAlignment="1" applyProtection="1">
      <alignment wrapText="1"/>
      <protection/>
    </xf>
    <xf numFmtId="0" fontId="22" fillId="0" borderId="0" xfId="0" applyNumberFormat="1" applyFont="1" applyFill="1" applyBorder="1" applyAlignment="1" applyProtection="1">
      <alignment horizontal="right"/>
      <protection hidden="1"/>
    </xf>
    <xf numFmtId="0" fontId="22" fillId="0" borderId="0" xfId="0" applyNumberFormat="1" applyFont="1" applyFill="1" applyBorder="1" applyAlignment="1" applyProtection="1">
      <alignment horizontal="center"/>
      <protection hidden="1"/>
    </xf>
    <xf numFmtId="0" fontId="22" fillId="0" borderId="11" xfId="0" applyNumberFormat="1" applyFont="1" applyFill="1" applyBorder="1" applyAlignment="1" applyProtection="1">
      <alignment horizontal="center" vertical="center" wrapText="1"/>
      <protection hidden="1"/>
    </xf>
    <xf numFmtId="0" fontId="22" fillId="0" borderId="21" xfId="0" applyNumberFormat="1" applyFont="1" applyFill="1" applyBorder="1" applyAlignment="1" applyProtection="1">
      <alignment horizontal="center" vertical="center" wrapText="1"/>
      <protection hidden="1"/>
    </xf>
    <xf numFmtId="0" fontId="0" fillId="34" borderId="25" xfId="0" applyNumberFormat="1" applyFont="1" applyFill="1" applyBorder="1" applyAlignment="1" applyProtection="1">
      <alignment wrapText="1"/>
      <protection/>
    </xf>
    <xf numFmtId="0" fontId="0" fillId="34" borderId="0" xfId="0" applyNumberFormat="1" applyFont="1" applyFill="1" applyBorder="1" applyAlignment="1" applyProtection="1">
      <alignment wrapText="1"/>
      <protection/>
    </xf>
    <xf numFmtId="0" fontId="0" fillId="35" borderId="0" xfId="0" applyNumberFormat="1" applyFont="1" applyFill="1" applyBorder="1" applyAlignment="1" applyProtection="1">
      <alignment/>
      <protection/>
    </xf>
    <xf numFmtId="0" fontId="0" fillId="35" borderId="0" xfId="0" applyNumberFormat="1" applyFont="1" applyFill="1" applyAlignment="1" applyProtection="1">
      <alignment/>
      <protection/>
    </xf>
    <xf numFmtId="0" fontId="0" fillId="35" borderId="0" xfId="0" applyNumberFormat="1" applyFont="1" applyFill="1" applyAlignment="1" applyProtection="1">
      <alignment horizontal="center" wrapText="1"/>
      <protection/>
    </xf>
    <xf numFmtId="0" fontId="0" fillId="35" borderId="0" xfId="0" applyNumberFormat="1" applyFont="1" applyFill="1" applyAlignment="1" applyProtection="1">
      <alignment horizontal="center"/>
      <protection/>
    </xf>
    <xf numFmtId="0" fontId="3" fillId="0" borderId="0" xfId="0" applyNumberFormat="1" applyFont="1" applyAlignment="1" applyProtection="1">
      <alignment/>
      <protection/>
    </xf>
    <xf numFmtId="0" fontId="39" fillId="0" borderId="0" xfId="0" applyFont="1" applyFill="1" applyBorder="1" applyAlignment="1" applyProtection="1">
      <alignment horizontal="left" vertical="center" wrapText="1"/>
      <protection hidden="1"/>
    </xf>
    <xf numFmtId="0" fontId="0" fillId="0" borderId="0" xfId="0" applyNumberFormat="1" applyFont="1" applyBorder="1" applyAlignment="1" applyProtection="1">
      <alignment horizontal="right" wrapText="1"/>
      <protection hidden="1"/>
    </xf>
    <xf numFmtId="1" fontId="22" fillId="0" borderId="0" xfId="0" applyNumberFormat="1" applyFont="1" applyFill="1" applyBorder="1" applyAlignment="1" applyProtection="1">
      <alignment horizontal="center" vertical="center" wrapText="1"/>
      <protection hidden="1"/>
    </xf>
    <xf numFmtId="16" fontId="23" fillId="0" borderId="15"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right" wrapText="1"/>
      <protection/>
    </xf>
    <xf numFmtId="0" fontId="0" fillId="0" borderId="0" xfId="0" applyNumberFormat="1" applyFont="1" applyAlignment="1" applyProtection="1">
      <alignment wrapText="1"/>
      <protection locked="0"/>
    </xf>
    <xf numFmtId="9" fontId="9" fillId="0" borderId="0" xfId="0" applyNumberFormat="1" applyFont="1" applyAlignment="1" applyProtection="1">
      <alignment horizontal="right" wrapText="1"/>
      <protection/>
    </xf>
    <xf numFmtId="9" fontId="0" fillId="0" borderId="0" xfId="0" applyNumberFormat="1" applyFont="1" applyAlignment="1" applyProtection="1">
      <alignment horizontal="left" wrapText="1"/>
      <protection/>
    </xf>
    <xf numFmtId="9" fontId="0" fillId="0" borderId="0" xfId="0" applyNumberFormat="1" applyFont="1" applyAlignment="1" applyProtection="1">
      <alignment horizontal="right" wrapText="1"/>
      <protection/>
    </xf>
    <xf numFmtId="9" fontId="9" fillId="0" borderId="0" xfId="0" applyNumberFormat="1" applyFont="1" applyAlignment="1" applyProtection="1">
      <alignment wrapText="1"/>
      <protection/>
    </xf>
    <xf numFmtId="9" fontId="9" fillId="0" borderId="0" xfId="0" applyNumberFormat="1" applyFont="1" applyFill="1" applyAlignment="1" applyProtection="1">
      <alignment wrapText="1"/>
      <protection/>
    </xf>
    <xf numFmtId="9" fontId="9" fillId="0" borderId="0" xfId="0" applyNumberFormat="1" applyFont="1" applyFill="1" applyAlignment="1" applyProtection="1">
      <alignment horizontal="right" wrapText="1"/>
      <protection/>
    </xf>
    <xf numFmtId="0" fontId="0" fillId="0" borderId="12" xfId="0" applyNumberFormat="1" applyFont="1" applyFill="1" applyBorder="1" applyAlignment="1" applyProtection="1">
      <alignment wrapText="1"/>
      <protection locked="0"/>
    </xf>
    <xf numFmtId="0" fontId="14" fillId="35" borderId="0" xfId="0" applyNumberFormat="1" applyFont="1" applyFill="1" applyBorder="1" applyAlignment="1" applyProtection="1">
      <alignment horizontal="center" vertical="center" wrapText="1"/>
      <protection hidden="1"/>
    </xf>
    <xf numFmtId="0" fontId="8" fillId="35" borderId="27" xfId="0"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left" vertical="center"/>
      <protection/>
    </xf>
    <xf numFmtId="0" fontId="36" fillId="35" borderId="0" xfId="0" applyNumberFormat="1" applyFont="1" applyFill="1" applyBorder="1" applyAlignment="1" applyProtection="1">
      <alignment horizontal="left" vertical="top"/>
      <protection/>
    </xf>
    <xf numFmtId="0" fontId="36" fillId="35" borderId="22" xfId="0" applyNumberFormat="1" applyFont="1" applyFill="1" applyBorder="1" applyAlignment="1" applyProtection="1">
      <alignment vertical="center"/>
      <protection/>
    </xf>
    <xf numFmtId="0" fontId="37"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protection/>
    </xf>
    <xf numFmtId="0" fontId="38" fillId="35" borderId="0" xfId="0" applyNumberFormat="1" applyFont="1" applyFill="1" applyAlignment="1" applyProtection="1">
      <alignment/>
      <protection/>
    </xf>
    <xf numFmtId="0" fontId="38" fillId="35" borderId="0" xfId="0" applyNumberFormat="1" applyFont="1" applyFill="1" applyAlignment="1" applyProtection="1">
      <alignment horizontal="center" wrapText="1"/>
      <protection/>
    </xf>
    <xf numFmtId="0" fontId="38" fillId="0" borderId="0" xfId="0" applyNumberFormat="1" applyFont="1" applyAlignment="1" applyProtection="1">
      <alignment/>
      <protection/>
    </xf>
    <xf numFmtId="0" fontId="38" fillId="0" borderId="0" xfId="0" applyNumberFormat="1"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0" fillId="35"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wrapText="1"/>
      <protection/>
    </xf>
    <xf numFmtId="0" fontId="0" fillId="0" borderId="0" xfId="0" applyFont="1" applyAlignment="1" applyProtection="1">
      <alignment/>
      <protection/>
    </xf>
    <xf numFmtId="1" fontId="0" fillId="0" borderId="0" xfId="0" applyNumberFormat="1" applyFont="1" applyAlignment="1" applyProtection="1">
      <alignment wrapText="1"/>
      <protection/>
    </xf>
    <xf numFmtId="1" fontId="0" fillId="0" borderId="0" xfId="0" applyNumberFormat="1" applyFont="1" applyAlignment="1" applyProtection="1">
      <alignment/>
      <protection/>
    </xf>
    <xf numFmtId="0" fontId="0" fillId="0" borderId="0" xfId="0" applyFont="1" applyAlignment="1" applyProtection="1">
      <alignment horizontal="center"/>
      <protection/>
    </xf>
    <xf numFmtId="0" fontId="0" fillId="35" borderId="0" xfId="0" applyFont="1" applyFill="1" applyAlignment="1" applyProtection="1">
      <alignment horizontal="center"/>
      <protection/>
    </xf>
    <xf numFmtId="0" fontId="0" fillId="0" borderId="10" xfId="0" applyNumberFormat="1" applyFont="1" applyFill="1" applyBorder="1" applyAlignment="1" applyProtection="1">
      <alignment wrapText="1"/>
      <protection locked="0"/>
    </xf>
    <xf numFmtId="0" fontId="0" fillId="0" borderId="14" xfId="0" applyNumberFormat="1" applyFont="1" applyFill="1" applyBorder="1" applyAlignment="1" applyProtection="1">
      <alignment wrapText="1"/>
      <protection locked="0"/>
    </xf>
    <xf numFmtId="0" fontId="0" fillId="0" borderId="0" xfId="0" applyNumberFormat="1" applyFont="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36" borderId="12" xfId="0" applyNumberFormat="1" applyFont="1" applyFill="1" applyBorder="1" applyAlignment="1" applyProtection="1">
      <alignment wrapText="1"/>
      <protection locked="0"/>
    </xf>
    <xf numFmtId="0" fontId="0" fillId="36" borderId="0" xfId="0" applyNumberFormat="1" applyFont="1" applyFill="1" applyBorder="1" applyAlignment="1" applyProtection="1">
      <alignment wrapText="1"/>
      <protection locked="0"/>
    </xf>
    <xf numFmtId="0" fontId="0" fillId="36" borderId="10" xfId="0" applyNumberFormat="1" applyFont="1" applyFill="1" applyBorder="1" applyAlignment="1" applyProtection="1">
      <alignment wrapText="1"/>
      <protection locked="0"/>
    </xf>
    <xf numFmtId="0" fontId="0" fillId="0" borderId="25" xfId="0" applyNumberFormat="1" applyFont="1" applyBorder="1" applyAlignment="1" applyProtection="1">
      <alignment horizontal="center" wrapText="1"/>
      <protection locked="0"/>
    </xf>
    <xf numFmtId="0" fontId="0" fillId="0" borderId="31" xfId="0" applyNumberFormat="1" applyFont="1" applyBorder="1" applyAlignment="1" applyProtection="1">
      <alignment horizontal="center" wrapText="1"/>
      <protection locked="0"/>
    </xf>
    <xf numFmtId="0" fontId="10" fillId="36" borderId="13" xfId="0" applyNumberFormat="1" applyFont="1" applyFill="1" applyBorder="1" applyAlignment="1" applyProtection="1">
      <alignment vertical="top"/>
      <protection hidden="1" locked="0"/>
    </xf>
    <xf numFmtId="0" fontId="0" fillId="0" borderId="13" xfId="0" applyNumberFormat="1" applyFont="1" applyFill="1" applyBorder="1" applyAlignment="1" applyProtection="1">
      <alignment horizontal="center" wrapText="1"/>
      <protection locked="0"/>
    </xf>
    <xf numFmtId="0" fontId="0" fillId="0" borderId="30" xfId="0" applyNumberFormat="1" applyFont="1" applyFill="1" applyBorder="1" applyAlignment="1" applyProtection="1">
      <alignment wrapText="1"/>
      <protection locked="0"/>
    </xf>
    <xf numFmtId="0" fontId="0" fillId="0" borderId="25" xfId="0" applyNumberFormat="1" applyFont="1" applyFill="1" applyBorder="1" applyAlignment="1" applyProtection="1">
      <alignment wrapText="1"/>
      <protection locked="0"/>
    </xf>
    <xf numFmtId="0" fontId="0" fillId="0" borderId="25" xfId="0" applyNumberFormat="1" applyFont="1" applyBorder="1" applyAlignment="1" applyProtection="1">
      <alignment wrapText="1"/>
      <protection locked="0"/>
    </xf>
    <xf numFmtId="0" fontId="10" fillId="36" borderId="21" xfId="0" applyNumberFormat="1" applyFont="1" applyFill="1" applyBorder="1" applyAlignment="1" applyProtection="1">
      <alignment vertical="top"/>
      <protection hidden="1" locked="0"/>
    </xf>
    <xf numFmtId="0" fontId="0" fillId="0" borderId="31" xfId="0" applyNumberFormat="1" applyFont="1" applyFill="1" applyBorder="1" applyAlignment="1" applyProtection="1">
      <alignment wrapText="1"/>
      <protection locked="0"/>
    </xf>
    <xf numFmtId="0" fontId="10" fillId="36" borderId="27" xfId="0" applyNumberFormat="1" applyFont="1" applyFill="1" applyBorder="1" applyAlignment="1" applyProtection="1">
      <alignment vertical="top"/>
      <protection hidden="1" locked="0"/>
    </xf>
    <xf numFmtId="0" fontId="0" fillId="0" borderId="13" xfId="0" applyNumberFormat="1" applyFont="1" applyFill="1" applyBorder="1" applyAlignment="1" applyProtection="1">
      <alignment wrapText="1"/>
      <protection locked="0"/>
    </xf>
    <xf numFmtId="0" fontId="10" fillId="36" borderId="30" xfId="0" applyNumberFormat="1" applyFont="1" applyFill="1" applyBorder="1" applyAlignment="1" applyProtection="1">
      <alignment vertical="top"/>
      <protection hidden="1" locked="0"/>
    </xf>
    <xf numFmtId="0" fontId="0" fillId="0" borderId="31" xfId="0" applyNumberFormat="1" applyFont="1" applyBorder="1" applyAlignment="1" applyProtection="1">
      <alignment wrapText="1"/>
      <protection locked="0"/>
    </xf>
    <xf numFmtId="9" fontId="11" fillId="0" borderId="0" xfId="0" applyNumberFormat="1" applyFont="1" applyBorder="1" applyAlignment="1" applyProtection="1">
      <alignment horizontal="left" wrapText="1"/>
      <protection/>
    </xf>
    <xf numFmtId="0" fontId="0" fillId="0" borderId="0" xfId="0" applyAlignment="1" applyProtection="1">
      <alignment horizontal="left" wrapText="1"/>
      <protection hidden="1"/>
    </xf>
    <xf numFmtId="0" fontId="0" fillId="0" borderId="0" xfId="0" applyNumberFormat="1" applyFont="1" applyAlignment="1" applyProtection="1">
      <alignment horizontal="left" wrapText="1"/>
      <protection hidden="1"/>
    </xf>
    <xf numFmtId="0" fontId="11" fillId="0" borderId="0" xfId="0" applyFont="1" applyBorder="1" applyAlignment="1" applyProtection="1">
      <alignment horizontal="left" wrapText="1"/>
      <protection/>
    </xf>
    <xf numFmtId="0" fontId="22" fillId="0" borderId="0" xfId="0" applyNumberFormat="1" applyFont="1" applyFill="1" applyBorder="1" applyAlignment="1" applyProtection="1">
      <alignment horizontal="left"/>
      <protection hidden="1"/>
    </xf>
    <xf numFmtId="0" fontId="11" fillId="0" borderId="0" xfId="0" applyFont="1" applyBorder="1" applyAlignment="1" applyProtection="1">
      <alignment horizontal="left" wrapText="1"/>
      <protection/>
    </xf>
    <xf numFmtId="9" fontId="11"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1" fillId="0" borderId="0" xfId="0" applyFont="1" applyBorder="1" applyAlignment="1" applyProtection="1">
      <alignment horizontal="left" vertical="top" wrapText="1"/>
      <protection/>
    </xf>
    <xf numFmtId="0" fontId="11" fillId="0" borderId="0" xfId="0" applyFont="1" applyFill="1" applyAlignment="1" applyProtection="1">
      <alignment horizontal="left" wrapText="1"/>
      <protection/>
    </xf>
    <xf numFmtId="0" fontId="11" fillId="0" borderId="0" xfId="0" applyFont="1" applyFill="1" applyBorder="1" applyAlignment="1" applyProtection="1">
      <alignment horizontal="left" wrapText="1"/>
      <protection/>
    </xf>
    <xf numFmtId="0" fontId="10" fillId="0" borderId="0" xfId="0" applyFont="1" applyFill="1" applyAlignment="1" applyProtection="1">
      <alignment horizontal="left" wrapText="1"/>
      <protection/>
    </xf>
    <xf numFmtId="0" fontId="39" fillId="0" borderId="0" xfId="0" applyFont="1" applyFill="1" applyBorder="1" applyAlignment="1" applyProtection="1">
      <alignment horizontal="left" vertical="top" wrapText="1"/>
      <protection hidden="1"/>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0" fontId="10" fillId="0" borderId="0" xfId="0" applyFont="1" applyBorder="1" applyAlignment="1" applyProtection="1">
      <alignment horizontal="left" wrapText="1"/>
      <protection/>
    </xf>
    <xf numFmtId="0" fontId="10" fillId="0" borderId="0" xfId="0" applyFont="1" applyFill="1" applyBorder="1" applyAlignment="1" applyProtection="1">
      <alignment horizontal="left" wrapText="1"/>
      <protection/>
    </xf>
    <xf numFmtId="0" fontId="10" fillId="0" borderId="0" xfId="0" applyFont="1" applyBorder="1" applyAlignment="1" applyProtection="1">
      <alignment horizontal="left" vertical="top" wrapText="1"/>
      <protection/>
    </xf>
    <xf numFmtId="0" fontId="26" fillId="0" borderId="0" xfId="0" applyFont="1" applyFill="1" applyBorder="1" applyAlignment="1" applyProtection="1">
      <alignment horizontal="left"/>
      <protection hidden="1"/>
    </xf>
    <xf numFmtId="0" fontId="11" fillId="0" borderId="0" xfId="0" applyFont="1" applyFill="1" applyBorder="1" applyAlignment="1" applyProtection="1">
      <alignment horizontal="left"/>
      <protection/>
    </xf>
    <xf numFmtId="0" fontId="6" fillId="0" borderId="0" xfId="0" applyNumberFormat="1" applyFont="1" applyFill="1" applyBorder="1" applyAlignment="1" applyProtection="1">
      <alignment horizontal="left" vertical="center" indent="1"/>
      <protection/>
    </xf>
    <xf numFmtId="0" fontId="22" fillId="0" borderId="20" xfId="0" applyNumberFormat="1" applyFont="1" applyFill="1" applyBorder="1" applyAlignment="1" applyProtection="1">
      <alignment horizontal="left" vertical="center" indent="1"/>
      <protection/>
    </xf>
    <xf numFmtId="0" fontId="22" fillId="0" borderId="29" xfId="0" applyNumberFormat="1" applyFont="1" applyFill="1" applyBorder="1" applyAlignment="1" applyProtection="1">
      <alignment horizontal="left" vertical="center" indent="1"/>
      <protection/>
    </xf>
    <xf numFmtId="0" fontId="6" fillId="0" borderId="20" xfId="0" applyNumberFormat="1" applyFont="1" applyFill="1" applyBorder="1" applyAlignment="1" applyProtection="1">
      <alignment horizontal="left" vertical="center" indent="1"/>
      <protection/>
    </xf>
    <xf numFmtId="0" fontId="22" fillId="0" borderId="28" xfId="0" applyNumberFormat="1" applyFont="1" applyFill="1" applyBorder="1" applyAlignment="1" applyProtection="1">
      <alignment horizontal="left" vertical="center" indent="1"/>
      <protection/>
    </xf>
    <xf numFmtId="0" fontId="22" fillId="0" borderId="28" xfId="0" applyNumberFormat="1" applyFont="1" applyFill="1" applyBorder="1" applyAlignment="1" applyProtection="1">
      <alignment horizontal="left" vertical="top" wrapText="1" indent="1"/>
      <protection hidden="1"/>
    </xf>
    <xf numFmtId="0" fontId="22" fillId="0" borderId="28" xfId="0" applyNumberFormat="1" applyFont="1" applyFill="1" applyBorder="1" applyAlignment="1" applyProtection="1">
      <alignment horizontal="left" vertical="top" indent="1"/>
      <protection hidden="1"/>
    </xf>
    <xf numFmtId="0" fontId="22" fillId="0" borderId="28" xfId="0" applyNumberFormat="1" applyFont="1" applyFill="1" applyBorder="1" applyAlignment="1" applyProtection="1">
      <alignment horizontal="left" vertical="center" wrapText="1" indent="1"/>
      <protection/>
    </xf>
    <xf numFmtId="0" fontId="22" fillId="0" borderId="28" xfId="0" applyNumberFormat="1" applyFont="1" applyFill="1" applyBorder="1" applyAlignment="1" applyProtection="1">
      <alignment horizontal="left" vertical="center" indent="4"/>
      <protection/>
    </xf>
    <xf numFmtId="0" fontId="22" fillId="0" borderId="29" xfId="0" applyNumberFormat="1" applyFont="1" applyFill="1" applyBorder="1" applyAlignment="1" applyProtection="1">
      <alignment horizontal="left" vertical="center" indent="4"/>
      <protection/>
    </xf>
    <xf numFmtId="0" fontId="6" fillId="0" borderId="28" xfId="0" applyNumberFormat="1" applyFont="1" applyFill="1" applyBorder="1" applyAlignment="1" applyProtection="1">
      <alignment horizontal="left" vertical="top" indent="1"/>
      <protection hidden="1"/>
    </xf>
    <xf numFmtId="0" fontId="6" fillId="0" borderId="20" xfId="0" applyNumberFormat="1" applyFont="1" applyFill="1" applyBorder="1" applyAlignment="1" applyProtection="1">
      <alignment horizontal="left" vertical="top" indent="1"/>
      <protection hidden="1"/>
    </xf>
    <xf numFmtId="0" fontId="22" fillId="0" borderId="29" xfId="0" applyNumberFormat="1" applyFont="1" applyFill="1" applyBorder="1" applyAlignment="1" applyProtection="1">
      <alignment horizontal="left" vertical="top" wrapText="1" indent="1"/>
      <protection hidden="1"/>
    </xf>
    <xf numFmtId="0" fontId="6" fillId="0" borderId="17" xfId="0" applyNumberFormat="1" applyFont="1" applyFill="1" applyBorder="1" applyAlignment="1" applyProtection="1">
      <alignment horizontal="left" vertical="top" indent="1"/>
      <protection hidden="1"/>
    </xf>
    <xf numFmtId="0" fontId="6" fillId="0" borderId="17" xfId="0" applyNumberFormat="1" applyFont="1" applyFill="1" applyBorder="1" applyAlignment="1" applyProtection="1">
      <alignment horizontal="left" vertical="center" indent="1"/>
      <protection hidden="1"/>
    </xf>
    <xf numFmtId="0" fontId="22" fillId="0" borderId="29" xfId="0" applyNumberFormat="1" applyFont="1" applyFill="1" applyBorder="1" applyAlignment="1" applyProtection="1">
      <alignment horizontal="left" vertical="top" indent="1"/>
      <protection hidden="1"/>
    </xf>
    <xf numFmtId="0" fontId="6" fillId="0" borderId="20" xfId="0" applyNumberFormat="1" applyFont="1" applyFill="1" applyBorder="1" applyAlignment="1" applyProtection="1">
      <alignment horizontal="left" vertical="center" indent="1"/>
      <protection hidden="1"/>
    </xf>
    <xf numFmtId="0" fontId="22" fillId="0" borderId="28" xfId="0" applyNumberFormat="1" applyFont="1" applyFill="1" applyBorder="1" applyAlignment="1" applyProtection="1">
      <alignment horizontal="left" vertical="center" wrapText="1" indent="1"/>
      <protection hidden="1"/>
    </xf>
    <xf numFmtId="0" fontId="6" fillId="37" borderId="17" xfId="0" applyNumberFormat="1" applyFont="1" applyFill="1" applyBorder="1" applyAlignment="1" applyProtection="1">
      <alignment horizontal="left" vertical="top" wrapText="1" indent="1"/>
      <protection hidden="1"/>
    </xf>
    <xf numFmtId="0" fontId="6" fillId="0" borderId="17" xfId="0" applyNumberFormat="1" applyFont="1" applyFill="1" applyBorder="1" applyAlignment="1" applyProtection="1">
      <alignment horizontal="left" vertical="center" wrapText="1" indent="1"/>
      <protection hidden="1"/>
    </xf>
    <xf numFmtId="0" fontId="6" fillId="35" borderId="0" xfId="0" applyNumberFormat="1" applyFont="1" applyFill="1" applyBorder="1" applyAlignment="1" applyProtection="1">
      <alignment horizontal="left" indent="1"/>
      <protection/>
    </xf>
    <xf numFmtId="0" fontId="22" fillId="0" borderId="0" xfId="0" applyNumberFormat="1" applyFont="1" applyFill="1" applyBorder="1" applyAlignment="1" applyProtection="1">
      <alignment horizontal="left" vertical="top" indent="1"/>
      <protection/>
    </xf>
    <xf numFmtId="0" fontId="22" fillId="0" borderId="28" xfId="0" applyNumberFormat="1" applyFont="1" applyFill="1" applyBorder="1" applyAlignment="1" applyProtection="1">
      <alignment horizontal="left" vertical="center" indent="2"/>
      <protection hidden="1"/>
    </xf>
    <xf numFmtId="0" fontId="22" fillId="0" borderId="29" xfId="0" applyNumberFormat="1" applyFont="1" applyFill="1" applyBorder="1" applyAlignment="1" applyProtection="1">
      <alignment horizontal="left" vertical="center" indent="2"/>
      <protection hidden="1"/>
    </xf>
    <xf numFmtId="0" fontId="22" fillId="0" borderId="28" xfId="0" applyNumberFormat="1" applyFont="1" applyFill="1" applyBorder="1" applyAlignment="1" applyProtection="1">
      <alignment horizontal="left" indent="1"/>
      <protection/>
    </xf>
    <xf numFmtId="0" fontId="6" fillId="0" borderId="28" xfId="0" applyNumberFormat="1" applyFont="1" applyFill="1" applyBorder="1" applyAlignment="1" applyProtection="1">
      <alignment horizontal="left" vertical="top" wrapText="1" indent="1"/>
      <protection hidden="1"/>
    </xf>
    <xf numFmtId="0" fontId="22" fillId="0" borderId="17" xfId="0" applyNumberFormat="1" applyFont="1" applyFill="1" applyBorder="1" applyAlignment="1" applyProtection="1">
      <alignment horizontal="left" vertical="center" indent="1"/>
      <protection hidden="1"/>
    </xf>
    <xf numFmtId="0" fontId="0" fillId="36" borderId="17" xfId="0" applyNumberFormat="1" applyFont="1" applyFill="1" applyBorder="1" applyAlignment="1" applyProtection="1">
      <alignment horizontal="left" wrapText="1" indent="1"/>
      <protection/>
    </xf>
    <xf numFmtId="0" fontId="6" fillId="0" borderId="28" xfId="0" applyNumberFormat="1" applyFont="1" applyFill="1" applyBorder="1" applyAlignment="1" applyProtection="1">
      <alignment horizontal="left" vertical="center" indent="1"/>
      <protection hidden="1"/>
    </xf>
    <xf numFmtId="0" fontId="6" fillId="0" borderId="20" xfId="0" applyNumberFormat="1" applyFont="1" applyFill="1" applyBorder="1" applyAlignment="1" applyProtection="1">
      <alignment horizontal="left" vertical="center" wrapText="1" indent="1"/>
      <protection hidden="1"/>
    </xf>
    <xf numFmtId="0" fontId="6" fillId="0" borderId="29" xfId="0" applyNumberFormat="1" applyFont="1" applyFill="1" applyBorder="1" applyAlignment="1" applyProtection="1">
      <alignment horizontal="left" vertical="center" indent="1"/>
      <protection hidden="1"/>
    </xf>
    <xf numFmtId="0" fontId="22" fillId="0" borderId="29" xfId="0" applyNumberFormat="1" applyFont="1" applyFill="1" applyBorder="1" applyAlignment="1" applyProtection="1">
      <alignment horizontal="left" vertical="center" wrapText="1" indent="1"/>
      <protection hidden="1"/>
    </xf>
    <xf numFmtId="0" fontId="6" fillId="0" borderId="28" xfId="0" applyNumberFormat="1" applyFont="1" applyFill="1" applyBorder="1" applyAlignment="1" applyProtection="1">
      <alignment horizontal="left" vertical="center" wrapText="1" indent="1"/>
      <protection hidden="1"/>
    </xf>
    <xf numFmtId="0" fontId="6" fillId="0" borderId="29" xfId="0" applyNumberFormat="1" applyFont="1" applyFill="1" applyBorder="1" applyAlignment="1" applyProtection="1">
      <alignment horizontal="left" vertical="center" wrapText="1" indent="1"/>
      <protection hidden="1"/>
    </xf>
    <xf numFmtId="0" fontId="6" fillId="0" borderId="17" xfId="0" applyNumberFormat="1" applyFont="1" applyFill="1" applyBorder="1" applyAlignment="1" applyProtection="1">
      <alignment horizontal="left" vertical="top" wrapText="1" indent="1"/>
      <protection hidden="1"/>
    </xf>
    <xf numFmtId="0" fontId="22" fillId="0" borderId="17" xfId="0" applyNumberFormat="1" applyFont="1" applyFill="1" applyBorder="1" applyAlignment="1" applyProtection="1">
      <alignment horizontal="right" vertical="center" indent="1"/>
      <protection hidden="1"/>
    </xf>
    <xf numFmtId="0" fontId="0" fillId="0" borderId="38" xfId="0" applyNumberFormat="1" applyFont="1" applyFill="1" applyBorder="1" applyAlignment="1" applyProtection="1">
      <alignment wrapText="1"/>
      <protection/>
    </xf>
    <xf numFmtId="0" fontId="0" fillId="0" borderId="39" xfId="0" applyNumberFormat="1" applyFont="1" applyBorder="1" applyAlignment="1" applyProtection="1">
      <alignment wrapText="1"/>
      <protection/>
    </xf>
    <xf numFmtId="0" fontId="0" fillId="0" borderId="40" xfId="0" applyNumberFormat="1" applyFont="1" applyFill="1" applyBorder="1" applyAlignment="1" applyProtection="1">
      <alignment wrapText="1"/>
      <protection/>
    </xf>
    <xf numFmtId="0" fontId="0" fillId="0" borderId="39" xfId="0" applyNumberFormat="1" applyFont="1" applyFill="1" applyBorder="1" applyAlignment="1" applyProtection="1">
      <alignment wrapText="1"/>
      <protection/>
    </xf>
    <xf numFmtId="0" fontId="0" fillId="0" borderId="41" xfId="0" applyNumberFormat="1" applyFont="1" applyFill="1" applyBorder="1" applyAlignment="1" applyProtection="1">
      <alignment wrapText="1"/>
      <protection/>
    </xf>
    <xf numFmtId="0" fontId="40" fillId="35" borderId="0" xfId="0" applyFont="1" applyFill="1" applyBorder="1" applyAlignment="1" applyProtection="1">
      <alignment vertical="center"/>
      <protection/>
    </xf>
    <xf numFmtId="0" fontId="22" fillId="0" borderId="20" xfId="0" applyNumberFormat="1" applyFont="1" applyFill="1" applyBorder="1" applyAlignment="1" applyProtection="1">
      <alignment horizontal="left" vertical="center" wrapText="1" indent="1"/>
      <protection hidden="1"/>
    </xf>
    <xf numFmtId="0" fontId="22" fillId="0" borderId="20" xfId="0" applyNumberFormat="1" applyFont="1" applyFill="1" applyBorder="1" applyAlignment="1" applyProtection="1">
      <alignment horizontal="left" vertical="center" wrapText="1" indent="2"/>
      <protection hidden="1"/>
    </xf>
    <xf numFmtId="0" fontId="41" fillId="37" borderId="0" xfId="0" applyNumberFormat="1" applyFont="1" applyFill="1" applyBorder="1" applyAlignment="1" applyProtection="1">
      <alignment horizontal="left" vertical="center" wrapText="1" indent="1"/>
      <protection locked="0"/>
    </xf>
    <xf numFmtId="0" fontId="26" fillId="0" borderId="30"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3" fillId="0" borderId="31"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29" xfId="0" applyNumberFormat="1" applyFont="1" applyFill="1" applyBorder="1" applyAlignment="1" applyProtection="1">
      <alignment horizontal="center" vertical="center" wrapText="1"/>
      <protection/>
    </xf>
    <xf numFmtId="0" fontId="23" fillId="0" borderId="3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hidden="1"/>
    </xf>
    <xf numFmtId="0" fontId="23" fillId="0" borderId="10"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25"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23" fillId="0" borderId="28" xfId="0" applyNumberFormat="1" applyFont="1" applyFill="1" applyBorder="1" applyAlignment="1" applyProtection="1">
      <alignment horizontal="center" vertical="center" wrapText="1"/>
      <protection/>
    </xf>
    <xf numFmtId="0" fontId="0" fillId="38" borderId="42" xfId="0" applyNumberFormat="1" applyFont="1" applyFill="1" applyBorder="1" applyAlignment="1" applyProtection="1">
      <alignment horizontal="center" vertical="center" wrapText="1"/>
      <protection locked="0"/>
    </xf>
    <xf numFmtId="0" fontId="0" fillId="0" borderId="43" xfId="0" applyNumberFormat="1" applyFont="1" applyBorder="1" applyAlignment="1" applyProtection="1">
      <alignment horizontal="center" vertical="center" wrapText="1"/>
      <protection locked="0"/>
    </xf>
    <xf numFmtId="0" fontId="0" fillId="0" borderId="43" xfId="0" applyNumberFormat="1" applyFont="1" applyFill="1" applyBorder="1" applyAlignment="1" applyProtection="1">
      <alignment horizontal="center" vertical="center" wrapText="1"/>
      <protection locked="0"/>
    </xf>
    <xf numFmtId="9" fontId="0" fillId="38" borderId="42" xfId="0" applyNumberFormat="1" applyFont="1" applyFill="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locked="0"/>
    </xf>
    <xf numFmtId="0" fontId="0" fillId="33" borderId="42" xfId="0" applyNumberFormat="1" applyFont="1" applyFill="1" applyBorder="1" applyAlignment="1" applyProtection="1">
      <alignment horizontal="center" vertical="center" wrapText="1"/>
      <protection locked="0"/>
    </xf>
    <xf numFmtId="0" fontId="0" fillId="0" borderId="30" xfId="0" applyNumberFormat="1" applyFont="1" applyFill="1" applyBorder="1" applyAlignment="1" applyProtection="1">
      <alignment vertical="center" wrapText="1"/>
      <protection locked="0"/>
    </xf>
    <xf numFmtId="0" fontId="0" fillId="0" borderId="25" xfId="0" applyNumberFormat="1" applyFont="1" applyFill="1" applyBorder="1" applyAlignment="1" applyProtection="1">
      <alignment vertical="center" wrapText="1"/>
      <protection locked="0"/>
    </xf>
    <xf numFmtId="0" fontId="0" fillId="0" borderId="0" xfId="0" applyNumberFormat="1" applyFont="1" applyFill="1" applyAlignment="1" applyProtection="1">
      <alignment vertical="center" wrapText="1"/>
      <protection locked="0"/>
    </xf>
    <xf numFmtId="0" fontId="0" fillId="0" borderId="13"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xf>
    <xf numFmtId="0" fontId="0" fillId="0" borderId="30" xfId="0" applyNumberFormat="1" applyFont="1" applyBorder="1" applyAlignment="1" applyProtection="1">
      <alignment vertical="center" wrapText="1"/>
      <protection locked="0"/>
    </xf>
    <xf numFmtId="0" fontId="0" fillId="0" borderId="0" xfId="0" applyNumberFormat="1" applyFont="1" applyFill="1" applyAlignment="1" applyProtection="1">
      <alignment vertical="center" wrapText="1"/>
      <protection/>
    </xf>
    <xf numFmtId="0" fontId="0" fillId="33" borderId="11"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wrapText="1"/>
      <protection/>
    </xf>
    <xf numFmtId="0" fontId="3" fillId="34" borderId="12" xfId="0" applyNumberFormat="1" applyFont="1" applyFill="1" applyBorder="1" applyAlignment="1" applyProtection="1">
      <alignment vertical="center"/>
      <protection hidden="1"/>
    </xf>
    <xf numFmtId="0" fontId="3" fillId="34" borderId="12" xfId="0" applyNumberFormat="1" applyFont="1" applyFill="1" applyBorder="1" applyAlignment="1" applyProtection="1">
      <alignment horizontal="center" vertical="center" wrapText="1"/>
      <protection hidden="1"/>
    </xf>
    <xf numFmtId="0" fontId="22" fillId="0" borderId="0" xfId="0" applyNumberFormat="1" applyFont="1" applyFill="1" applyBorder="1" applyAlignment="1" applyProtection="1">
      <alignment horizontal="center" vertical="center"/>
      <protection hidden="1"/>
    </xf>
    <xf numFmtId="1" fontId="22" fillId="0" borderId="0" xfId="0" applyNumberFormat="1" applyFont="1" applyFill="1" applyBorder="1" applyAlignment="1" applyProtection="1">
      <alignment horizontal="center" vertical="center"/>
      <protection hidden="1"/>
    </xf>
    <xf numFmtId="0" fontId="7" fillId="34" borderId="0" xfId="0" applyNumberFormat="1" applyFont="1" applyFill="1" applyBorder="1" applyAlignment="1" applyProtection="1">
      <alignment horizontal="center" vertical="center"/>
      <protection hidden="1"/>
    </xf>
    <xf numFmtId="0" fontId="0" fillId="0" borderId="44"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45" xfId="0" applyNumberFormat="1" applyFont="1" applyBorder="1" applyAlignment="1" applyProtection="1">
      <alignment horizontal="center" vertical="center" wrapText="1"/>
      <protection locked="0"/>
    </xf>
    <xf numFmtId="0" fontId="0" fillId="38" borderId="46" xfId="0" applyNumberFormat="1" applyFont="1" applyFill="1" applyBorder="1" applyAlignment="1" applyProtection="1">
      <alignment horizontal="center" vertical="center" wrapText="1"/>
      <protection locked="0"/>
    </xf>
    <xf numFmtId="9" fontId="0" fillId="38" borderId="46" xfId="0" applyNumberFormat="1" applyFont="1" applyFill="1" applyBorder="1" applyAlignment="1" applyProtection="1">
      <alignment horizontal="center" vertical="center" wrapText="1"/>
      <protection locked="0"/>
    </xf>
    <xf numFmtId="0" fontId="0" fillId="0" borderId="47" xfId="0" applyNumberFormat="1" applyFont="1" applyBorder="1" applyAlignment="1" applyProtection="1">
      <alignment wrapText="1"/>
      <protection/>
    </xf>
    <xf numFmtId="0" fontId="0" fillId="0" borderId="47" xfId="0" applyNumberFormat="1" applyFont="1" applyBorder="1" applyAlignment="1" applyProtection="1">
      <alignment vertical="center" wrapText="1"/>
      <protection/>
    </xf>
    <xf numFmtId="0" fontId="6" fillId="0" borderId="48" xfId="0" applyNumberFormat="1" applyFont="1" applyFill="1" applyBorder="1" applyAlignment="1" applyProtection="1">
      <alignment horizontal="left" vertical="center" indent="1"/>
      <protection hidden="1"/>
    </xf>
    <xf numFmtId="0" fontId="32" fillId="0" borderId="17" xfId="0" applyNumberFormat="1" applyFont="1" applyFill="1" applyBorder="1" applyAlignment="1" applyProtection="1">
      <alignment horizontal="left" vertical="center" wrapText="1"/>
      <protection hidden="1" locked="0"/>
    </xf>
    <xf numFmtId="0" fontId="32" fillId="0" borderId="11" xfId="0" applyNumberFormat="1" applyFont="1" applyFill="1" applyBorder="1" applyAlignment="1" applyProtection="1">
      <alignment horizontal="left" vertical="center" wrapText="1"/>
      <protection hidden="1" locked="0"/>
    </xf>
    <xf numFmtId="0" fontId="17" fillId="0" borderId="0" xfId="0" applyNumberFormat="1" applyFont="1" applyBorder="1" applyAlignment="1" applyProtection="1">
      <alignment vertical="center"/>
      <protection locked="0"/>
    </xf>
    <xf numFmtId="0" fontId="7" fillId="0" borderId="0" xfId="0" applyNumberFormat="1" applyFont="1" applyFill="1" applyBorder="1" applyAlignment="1" applyProtection="1">
      <alignment vertical="center" wrapText="1"/>
      <protection locked="0"/>
    </xf>
    <xf numFmtId="0" fontId="20" fillId="0" borderId="14" xfId="0" applyNumberFormat="1" applyFont="1" applyFill="1" applyBorder="1" applyAlignment="1" applyProtection="1">
      <alignment horizontal="center" vertical="center" wrapText="1"/>
      <protection hidden="1"/>
    </xf>
    <xf numFmtId="0" fontId="6" fillId="0" borderId="20" xfId="0" applyNumberFormat="1" applyFont="1" applyFill="1" applyBorder="1" applyAlignment="1" applyProtection="1">
      <alignment horizontal="left" vertical="top" wrapText="1" indent="1"/>
      <protection hidden="1"/>
    </xf>
    <xf numFmtId="0" fontId="42" fillId="35"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wrapText="1"/>
      <protection hidden="1"/>
    </xf>
    <xf numFmtId="1" fontId="10" fillId="0" borderId="0" xfId="0" applyNumberFormat="1" applyFont="1" applyFill="1" applyBorder="1" applyAlignment="1" applyProtection="1">
      <alignment horizontal="left" vertical="top" wrapText="1"/>
      <protection hidden="1"/>
    </xf>
    <xf numFmtId="9" fontId="0" fillId="0" borderId="0" xfId="0" applyNumberFormat="1" applyFont="1" applyAlignment="1" applyProtection="1">
      <alignment wrapText="1"/>
      <protection/>
    </xf>
    <xf numFmtId="0" fontId="4" fillId="0" borderId="0" xfId="0" applyNumberFormat="1" applyFont="1" applyFill="1" applyBorder="1" applyAlignment="1" applyProtection="1">
      <alignment horizontal="centerContinuous" vertical="center" wrapText="1"/>
      <protection hidden="1"/>
    </xf>
    <xf numFmtId="0" fontId="18" fillId="0" borderId="0" xfId="0" applyNumberFormat="1" applyFont="1" applyFill="1" applyBorder="1" applyAlignment="1" applyProtection="1">
      <alignment horizontal="center" vertical="justify" textRotation="90" wrapText="1"/>
      <protection hidden="1"/>
    </xf>
    <xf numFmtId="0" fontId="20" fillId="0" borderId="0" xfId="0" applyNumberFormat="1" applyFont="1" applyFill="1" applyBorder="1" applyAlignment="1" applyProtection="1">
      <alignment horizontal="center" vertical="center"/>
      <protection hidden="1"/>
    </xf>
    <xf numFmtId="0" fontId="25" fillId="0" borderId="0" xfId="0" applyNumberFormat="1" applyFont="1" applyFill="1" applyBorder="1" applyAlignment="1" applyProtection="1">
      <alignment horizontal="center" vertical="center" wrapText="1"/>
      <protection hidden="1"/>
    </xf>
    <xf numFmtId="0" fontId="25" fillId="0" borderId="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wrapText="1"/>
      <protection hidden="1"/>
    </xf>
    <xf numFmtId="0" fontId="31" fillId="0" borderId="0" xfId="0" applyNumberFormat="1" applyFont="1" applyFill="1" applyBorder="1" applyAlignment="1" applyProtection="1">
      <alignment horizontal="center" vertical="center" wrapText="1"/>
      <protection hidden="1"/>
    </xf>
    <xf numFmtId="0" fontId="32" fillId="0" borderId="0" xfId="0" applyNumberFormat="1" applyFont="1" applyFill="1" applyBorder="1" applyAlignment="1" applyProtection="1">
      <alignment horizontal="center" vertical="center" wrapText="1"/>
      <protection hidden="1"/>
    </xf>
    <xf numFmtId="0" fontId="26" fillId="0" borderId="0"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left" vertical="center" wrapText="1"/>
      <protection hidden="1" locked="0"/>
    </xf>
    <xf numFmtId="0" fontId="0" fillId="0" borderId="0" xfId="0" applyFill="1" applyBorder="1" applyAlignment="1" applyProtection="1">
      <alignment horizontal="left"/>
      <protection locked="0"/>
    </xf>
    <xf numFmtId="0" fontId="14" fillId="0" borderId="0"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hidden="1"/>
    </xf>
    <xf numFmtId="0" fontId="2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hidden="1"/>
    </xf>
    <xf numFmtId="0" fontId="38" fillId="0" borderId="0" xfId="0" applyNumberFormat="1" applyFont="1" applyFill="1" applyAlignment="1" applyProtection="1">
      <alignment horizontal="center" wrapText="1"/>
      <protection/>
    </xf>
    <xf numFmtId="0" fontId="0" fillId="0" borderId="0" xfId="0" applyFont="1" applyFill="1" applyAlignment="1" applyProtection="1">
      <alignment horizontal="center" wrapText="1"/>
      <protection/>
    </xf>
    <xf numFmtId="0" fontId="0" fillId="0" borderId="0" xfId="0"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38" borderId="49" xfId="0" applyNumberFormat="1" applyFont="1" applyFill="1" applyBorder="1" applyAlignment="1" applyProtection="1">
      <alignment horizontal="center" vertical="center" wrapText="1"/>
      <protection locked="0"/>
    </xf>
    <xf numFmtId="0" fontId="10" fillId="36" borderId="11" xfId="0" applyNumberFormat="1" applyFont="1" applyFill="1" applyBorder="1" applyAlignment="1" applyProtection="1">
      <alignment horizontal="center" vertical="center" wrapText="1"/>
      <protection hidden="1"/>
    </xf>
    <xf numFmtId="0" fontId="10" fillId="36" borderId="17" xfId="0" applyNumberFormat="1" applyFont="1" applyFill="1" applyBorder="1" applyAlignment="1" applyProtection="1">
      <alignment horizontal="center" vertical="center" wrapText="1"/>
      <protection hidden="1"/>
    </xf>
    <xf numFmtId="0" fontId="10" fillId="36" borderId="29" xfId="0" applyNumberFormat="1" applyFont="1" applyFill="1" applyBorder="1" applyAlignment="1" applyProtection="1">
      <alignment horizontal="center" vertical="center" wrapText="1"/>
      <protection hidden="1"/>
    </xf>
    <xf numFmtId="0" fontId="10" fillId="36" borderId="19" xfId="0" applyNumberFormat="1" applyFont="1" applyFill="1" applyBorder="1" applyAlignment="1" applyProtection="1">
      <alignment horizontal="center" vertical="center" wrapText="1"/>
      <protection hidden="1"/>
    </xf>
    <xf numFmtId="0" fontId="10" fillId="36" borderId="14" xfId="0" applyNumberFormat="1" applyFont="1" applyFill="1" applyBorder="1" applyAlignment="1" applyProtection="1">
      <alignment horizontal="center" vertical="center" wrapText="1"/>
      <protection hidden="1"/>
    </xf>
    <xf numFmtId="0" fontId="10" fillId="36" borderId="12" xfId="0" applyNumberFormat="1" applyFont="1" applyFill="1" applyBorder="1" applyAlignment="1" applyProtection="1">
      <alignment horizontal="center" vertical="center" wrapText="1"/>
      <protection hidden="1"/>
    </xf>
    <xf numFmtId="0" fontId="10" fillId="36" borderId="13" xfId="0" applyNumberFormat="1" applyFont="1" applyFill="1" applyBorder="1" applyAlignment="1" applyProtection="1">
      <alignment horizontal="center" vertical="center" wrapText="1"/>
      <protection hidden="1"/>
    </xf>
    <xf numFmtId="0" fontId="16" fillId="34" borderId="31" xfId="0" applyNumberFormat="1" applyFont="1" applyFill="1" applyBorder="1" applyAlignment="1" applyProtection="1">
      <alignment vertical="center" wrapText="1"/>
      <protection locked="0"/>
    </xf>
    <xf numFmtId="0" fontId="17" fillId="0" borderId="14" xfId="0" applyNumberFormat="1" applyFont="1" applyBorder="1" applyAlignment="1" applyProtection="1">
      <alignment vertical="center"/>
      <protection locked="0"/>
    </xf>
    <xf numFmtId="0" fontId="0" fillId="36" borderId="13" xfId="0" applyNumberFormat="1" applyFont="1" applyFill="1" applyBorder="1" applyAlignment="1" applyProtection="1">
      <alignment horizontal="center" vertical="center" wrapText="1"/>
      <protection hidden="1"/>
    </xf>
    <xf numFmtId="0" fontId="0" fillId="36" borderId="12" xfId="0" applyNumberFormat="1" applyFont="1" applyFill="1" applyBorder="1" applyAlignment="1" applyProtection="1">
      <alignment horizontal="center" vertical="center" wrapText="1"/>
      <protection hidden="1"/>
    </xf>
    <xf numFmtId="0" fontId="0" fillId="36" borderId="17" xfId="0" applyNumberFormat="1" applyFont="1" applyFill="1" applyBorder="1" applyAlignment="1" applyProtection="1">
      <alignment horizontal="center" vertical="center" wrapText="1"/>
      <protection hidden="1"/>
    </xf>
    <xf numFmtId="0" fontId="15" fillId="0" borderId="0" xfId="0" applyNumberFormat="1" applyFont="1" applyFill="1" applyBorder="1" applyAlignment="1" applyProtection="1">
      <alignment horizontal="center" wrapText="1"/>
      <protection hidden="1"/>
    </xf>
    <xf numFmtId="1" fontId="10" fillId="0" borderId="0" xfId="0" applyNumberFormat="1" applyFont="1" applyFill="1" applyBorder="1" applyAlignment="1" applyProtection="1">
      <alignment horizontal="left" vertical="top" wrapText="1"/>
      <protection hidden="1"/>
    </xf>
    <xf numFmtId="0" fontId="0" fillId="0" borderId="0" xfId="0" applyNumberFormat="1" applyFont="1" applyBorder="1" applyAlignment="1" applyProtection="1">
      <alignment vertical="center" wrapText="1"/>
      <protection hidden="1"/>
    </xf>
    <xf numFmtId="0" fontId="10" fillId="38" borderId="47" xfId="0" applyNumberFormat="1" applyFont="1" applyFill="1" applyBorder="1" applyAlignment="1" applyProtection="1">
      <alignment horizontal="left" wrapText="1"/>
      <protection locked="0"/>
    </xf>
    <xf numFmtId="0" fontId="0" fillId="0" borderId="47" xfId="0" applyBorder="1" applyAlignment="1" applyProtection="1">
      <alignment horizontal="left"/>
      <protection locked="0"/>
    </xf>
    <xf numFmtId="0" fontId="0" fillId="0" borderId="50" xfId="0" applyBorder="1" applyAlignment="1" applyProtection="1">
      <alignment horizontal="left"/>
      <protection locked="0"/>
    </xf>
    <xf numFmtId="0" fontId="0" fillId="38" borderId="51" xfId="0" applyNumberFormat="1" applyFont="1" applyFill="1" applyBorder="1" applyAlignment="1" applyProtection="1">
      <alignment horizontal="right"/>
      <protection hidden="1"/>
    </xf>
    <xf numFmtId="0" fontId="0" fillId="38" borderId="47" xfId="0" applyNumberFormat="1" applyFont="1" applyFill="1" applyBorder="1" applyAlignment="1" applyProtection="1">
      <alignment horizontal="right"/>
      <protection hidden="1"/>
    </xf>
    <xf numFmtId="0" fontId="0" fillId="0" borderId="0" xfId="0" applyNumberFormat="1" applyFont="1" applyFill="1" applyBorder="1" applyAlignment="1" applyProtection="1">
      <alignment horizontal="left" vertical="top"/>
      <protection hidden="1"/>
    </xf>
    <xf numFmtId="0" fontId="0" fillId="0" borderId="0" xfId="0" applyNumberFormat="1" applyFont="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7">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dxf>
      <font>
        <color indexed="10"/>
      </font>
    </dxf>
    <dxf>
      <font>
        <color indexed="54"/>
      </font>
    </dxf>
    <dxf>
      <font>
        <color indexed="22"/>
      </font>
    </dxf>
    <dxf>
      <font>
        <color indexed="10"/>
      </font>
    </dxf>
    <dxf>
      <font>
        <color indexed="10"/>
      </font>
    </dxf>
    <dxf>
      <font>
        <color indexed="54"/>
      </font>
    </dxf>
    <dxf>
      <font>
        <color indexed="10"/>
      </font>
    </dxf>
    <dxf>
      <font>
        <color indexed="22"/>
      </font>
    </dxf>
    <dxf>
      <font>
        <color indexed="22"/>
      </font>
    </dxf>
    <dxf>
      <font>
        <color indexed="10"/>
      </font>
    </dxf>
    <dxf>
      <font>
        <color indexed="10"/>
      </font>
    </dxf>
    <dxf>
      <font>
        <color indexed="54"/>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10"/>
      </font>
    </dxf>
    <dxf>
      <font>
        <color indexed="22"/>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C0C0C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val>
            <c:numRef>
              <c:f>'Existing Home Checklist'!$L$6:$P$6</c:f>
              <c:numCache/>
            </c:numRef>
          </c:val>
        </c:ser>
        <c:ser>
          <c:idx val="1"/>
          <c:order val="1"/>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val>
            <c:numRef>
              <c:f>'Existing Home Checklist'!$L$7:$P$7</c:f>
              <c:numCache/>
            </c:numRef>
          </c:val>
        </c:ser>
        <c:gapWidth val="30"/>
        <c:axId val="55443886"/>
        <c:axId val="29232927"/>
      </c:barChart>
      <c:catAx>
        <c:axId val="55443886"/>
        <c:scaling>
          <c:orientation val="minMax"/>
        </c:scaling>
        <c:axPos val="b"/>
        <c:majorGridlines>
          <c:spPr>
            <a:ln w="12700">
              <a:solidFill>
                <a:srgbClr val="969696"/>
              </a:solidFill>
            </a:ln>
          </c:spPr>
        </c:majorGridlines>
        <c:delete val="0"/>
        <c:numFmt formatCode="General" sourceLinked="1"/>
        <c:majorTickMark val="out"/>
        <c:minorTickMark val="none"/>
        <c:tickLblPos val="none"/>
        <c:spPr>
          <a:ln w="12700">
            <a:solidFill>
              <a:srgbClr val="808080"/>
            </a:solidFill>
          </a:ln>
        </c:spPr>
        <c:crossAx val="29232927"/>
        <c:crossesAt val="0"/>
        <c:auto val="1"/>
        <c:lblOffset val="100"/>
        <c:tickLblSkip val="1"/>
        <c:noMultiLvlLbl val="0"/>
      </c:catAx>
      <c:valAx>
        <c:axId val="29232927"/>
        <c:scaling>
          <c:orientation val="minMax"/>
          <c:max val="120"/>
          <c:min val="0"/>
        </c:scaling>
        <c:axPos val="l"/>
        <c:majorGridlines>
          <c:spPr>
            <a:ln w="3175">
              <a:solidFill>
                <a:srgbClr val="C0C0C0"/>
              </a:solidFill>
            </a:ln>
          </c:spPr>
        </c:majorGridlines>
        <c:delete val="1"/>
        <c:majorTickMark val="out"/>
        <c:minorTickMark val="none"/>
        <c:tickLblPos val="nextTo"/>
        <c:crossAx val="55443886"/>
        <c:crossesAt val="1"/>
        <c:crossBetween val="between"/>
        <c:dispUnits/>
        <c:majorUnit val="20"/>
        <c:minorUnit val="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104775</xdr:rowOff>
    </xdr:from>
    <xdr:to>
      <xdr:col>16</xdr:col>
      <xdr:colOff>0</xdr:colOff>
      <xdr:row>0</xdr:row>
      <xdr:rowOff>304800</xdr:rowOff>
    </xdr:to>
    <xdr:sp>
      <xdr:nvSpPr>
        <xdr:cNvPr id="1" name="Text Box 4"/>
        <xdr:cNvSpPr txBox="1">
          <a:spLocks noChangeArrowheads="1"/>
        </xdr:cNvSpPr>
      </xdr:nvSpPr>
      <xdr:spPr>
        <a:xfrm>
          <a:off x="7267575" y="104775"/>
          <a:ext cx="0"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date: _____________</a:t>
          </a:r>
        </a:p>
      </xdr:txBody>
    </xdr:sp>
    <xdr:clientData/>
  </xdr:twoCellAnchor>
  <xdr:twoCellAnchor>
    <xdr:from>
      <xdr:col>10</xdr:col>
      <xdr:colOff>333375</xdr:colOff>
      <xdr:row>5</xdr:row>
      <xdr:rowOff>38100</xdr:rowOff>
    </xdr:from>
    <xdr:to>
      <xdr:col>16</xdr:col>
      <xdr:colOff>38100</xdr:colOff>
      <xdr:row>6</xdr:row>
      <xdr:rowOff>361950</xdr:rowOff>
    </xdr:to>
    <xdr:graphicFrame>
      <xdr:nvGraphicFramePr>
        <xdr:cNvPr id="2" name="Chart 406"/>
        <xdr:cNvGraphicFramePr/>
      </xdr:nvGraphicFramePr>
      <xdr:xfrm>
        <a:off x="5648325" y="1609725"/>
        <a:ext cx="1657350" cy="9620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4791075</xdr:colOff>
      <xdr:row>0</xdr:row>
      <xdr:rowOff>28575</xdr:rowOff>
    </xdr:from>
    <xdr:to>
      <xdr:col>11</xdr:col>
      <xdr:colOff>19050</xdr:colOff>
      <xdr:row>1</xdr:row>
      <xdr:rowOff>38100</xdr:rowOff>
    </xdr:to>
    <xdr:pic>
      <xdr:nvPicPr>
        <xdr:cNvPr id="3" name="Picture 463" descr="big_rgb"/>
        <xdr:cNvPicPr preferRelativeResize="1">
          <a:picLocks noChangeAspect="1"/>
        </xdr:cNvPicPr>
      </xdr:nvPicPr>
      <xdr:blipFill>
        <a:blip r:embed="rId2"/>
        <a:srcRect l="16000" r="17333" b="28858"/>
        <a:stretch>
          <a:fillRect/>
        </a:stretch>
      </xdr:blipFill>
      <xdr:spPr>
        <a:xfrm>
          <a:off x="5248275" y="28575"/>
          <a:ext cx="466725" cy="409575"/>
        </a:xfrm>
        <a:prstGeom prst="rect">
          <a:avLst/>
        </a:prstGeom>
        <a:noFill/>
        <a:ln w="9525" cmpd="sng">
          <a:noFill/>
        </a:ln>
      </xdr:spPr>
    </xdr:pic>
    <xdr:clientData/>
  </xdr:twoCellAnchor>
  <xdr:twoCellAnchor editAs="oneCell">
    <xdr:from>
      <xdr:col>11</xdr:col>
      <xdr:colOff>95250</xdr:colOff>
      <xdr:row>0</xdr:row>
      <xdr:rowOff>38100</xdr:rowOff>
    </xdr:from>
    <xdr:to>
      <xdr:col>15</xdr:col>
      <xdr:colOff>295275</xdr:colOff>
      <xdr:row>1</xdr:row>
      <xdr:rowOff>85725</xdr:rowOff>
    </xdr:to>
    <xdr:pic>
      <xdr:nvPicPr>
        <xdr:cNvPr id="4" name="Picture 464" descr="big_rgb"/>
        <xdr:cNvPicPr preferRelativeResize="1">
          <a:picLocks noChangeAspect="1"/>
        </xdr:cNvPicPr>
      </xdr:nvPicPr>
      <xdr:blipFill>
        <a:blip r:embed="rId2"/>
        <a:srcRect t="72071"/>
        <a:stretch>
          <a:fillRect/>
        </a:stretch>
      </xdr:blipFill>
      <xdr:spPr>
        <a:xfrm>
          <a:off x="5791200" y="38100"/>
          <a:ext cx="14573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389"/>
  <sheetViews>
    <sheetView showGridLines="0" showZeros="0" tabSelected="1" zoomScaleSheetLayoutView="100" zoomScalePageLayoutView="0" workbookViewId="0" topLeftCell="A1">
      <selection activeCell="A8" sqref="A8:J8"/>
    </sheetView>
  </sheetViews>
  <sheetFormatPr defaultColWidth="9.140625" defaultRowHeight="12.75"/>
  <cols>
    <col min="1" max="1" width="6.8515625" style="56" customWidth="1"/>
    <col min="2" max="2" width="8.8515625" style="56" hidden="1" customWidth="1"/>
    <col min="3" max="3" width="8.57421875" style="56" hidden="1" customWidth="1"/>
    <col min="4" max="9" width="4.00390625" style="56" hidden="1" customWidth="1"/>
    <col min="10" max="10" width="72.8515625" style="177" customWidth="1"/>
    <col min="11" max="11" width="5.7109375" style="178" customWidth="1"/>
    <col min="12" max="16" width="4.7109375" style="179" customWidth="1"/>
    <col min="17" max="17" width="4.7109375" style="126" customWidth="1"/>
    <col min="18" max="18" width="9.140625" style="55" hidden="1" customWidth="1"/>
    <col min="19" max="19" width="5.57421875" style="56" hidden="1" customWidth="1"/>
    <col min="20" max="20" width="5.00390625" style="56" hidden="1" customWidth="1"/>
    <col min="21" max="21" width="4.421875" style="56" hidden="1" customWidth="1"/>
    <col min="22" max="23" width="9.140625" style="56" hidden="1" customWidth="1"/>
    <col min="24" max="24" width="25.57421875" style="241" hidden="1" customWidth="1"/>
    <col min="25" max="25" width="9.140625" style="56" hidden="1" customWidth="1"/>
    <col min="26" max="26" width="18.57421875" style="56" customWidth="1"/>
    <col min="27" max="16384" width="9.140625" style="56" customWidth="1"/>
  </cols>
  <sheetData>
    <row r="1" spans="1:24" s="46" customFormat="1" ht="31.5" customHeight="1">
      <c r="A1" s="39" t="s">
        <v>164</v>
      </c>
      <c r="B1" s="40"/>
      <c r="C1" s="40"/>
      <c r="D1" s="40"/>
      <c r="E1" s="40"/>
      <c r="F1" s="40"/>
      <c r="G1" s="40"/>
      <c r="H1" s="40"/>
      <c r="I1" s="40"/>
      <c r="J1" s="41"/>
      <c r="K1" s="42"/>
      <c r="L1" s="43"/>
      <c r="M1" s="43"/>
      <c r="N1" s="44"/>
      <c r="O1" s="43"/>
      <c r="P1" s="43"/>
      <c r="Q1" s="355"/>
      <c r="R1" s="45">
        <v>1</v>
      </c>
      <c r="S1" s="46">
        <v>0</v>
      </c>
      <c r="X1" s="237"/>
    </row>
    <row r="2" spans="1:24" s="46" customFormat="1" ht="29.25" customHeight="1">
      <c r="A2" s="392" t="s">
        <v>0</v>
      </c>
      <c r="B2" s="392"/>
      <c r="C2" s="392"/>
      <c r="D2" s="392"/>
      <c r="E2" s="392"/>
      <c r="F2" s="392"/>
      <c r="G2" s="392"/>
      <c r="H2" s="392"/>
      <c r="I2" s="392"/>
      <c r="J2" s="392"/>
      <c r="Q2" s="48"/>
      <c r="R2" s="45"/>
      <c r="S2" s="45">
        <f>IF(T2&gt;0,1,0)</f>
        <v>0</v>
      </c>
      <c r="T2" s="48">
        <f>IF(A388="Existing Home",K327,0)</f>
        <v>0</v>
      </c>
      <c r="X2" s="238"/>
    </row>
    <row r="3" spans="1:24" s="46" customFormat="1" ht="15" customHeight="1">
      <c r="A3" s="392"/>
      <c r="B3" s="392"/>
      <c r="C3" s="392"/>
      <c r="D3" s="392"/>
      <c r="E3" s="392"/>
      <c r="F3" s="392"/>
      <c r="G3" s="392"/>
      <c r="H3" s="392"/>
      <c r="I3" s="392"/>
      <c r="J3" s="392"/>
      <c r="K3" s="396" t="s">
        <v>221</v>
      </c>
      <c r="L3" s="397"/>
      <c r="M3" s="397"/>
      <c r="N3" s="393" t="s">
        <v>165</v>
      </c>
      <c r="O3" s="394"/>
      <c r="P3" s="395"/>
      <c r="Q3" s="367"/>
      <c r="R3" s="45"/>
      <c r="S3" s="45"/>
      <c r="T3" s="48"/>
      <c r="W3" s="183" t="s">
        <v>166</v>
      </c>
      <c r="X3" s="238"/>
    </row>
    <row r="4" spans="1:24" s="46" customFormat="1" ht="19.5" customHeight="1">
      <c r="A4" s="392"/>
      <c r="B4" s="392"/>
      <c r="C4" s="392"/>
      <c r="D4" s="392"/>
      <c r="E4" s="392"/>
      <c r="F4" s="392"/>
      <c r="G4" s="392"/>
      <c r="H4" s="392"/>
      <c r="I4" s="392"/>
      <c r="J4" s="392"/>
      <c r="K4" s="42"/>
      <c r="L4" s="49"/>
      <c r="M4" s="47"/>
      <c r="N4" s="390"/>
      <c r="O4" s="390"/>
      <c r="P4" s="390"/>
      <c r="Q4" s="352"/>
      <c r="R4" s="45"/>
      <c r="S4" s="45">
        <f>IF(T4="Achieved",1,0)</f>
        <v>0</v>
      </c>
      <c r="T4" s="50">
        <f>IF(AND(A389="GreenPoint Elements",A350="Project has met all recommended minimum requirements for GreenPoint Rated Elements"),"Achieved",0)</f>
        <v>0</v>
      </c>
      <c r="W4" s="186" t="s">
        <v>165</v>
      </c>
      <c r="X4" s="238"/>
    </row>
    <row r="5" spans="1:24" s="46" customFormat="1" ht="28.5" customHeight="1">
      <c r="A5" s="392"/>
      <c r="B5" s="392"/>
      <c r="C5" s="392"/>
      <c r="D5" s="392"/>
      <c r="E5" s="392"/>
      <c r="F5" s="392"/>
      <c r="G5" s="392"/>
      <c r="H5" s="392"/>
      <c r="I5" s="392"/>
      <c r="J5" s="392"/>
      <c r="K5" s="398" t="s">
        <v>150</v>
      </c>
      <c r="L5" s="399"/>
      <c r="M5" s="399"/>
      <c r="N5" s="391">
        <f>K327</f>
        <v>0</v>
      </c>
      <c r="O5" s="391"/>
      <c r="P5" s="391"/>
      <c r="Q5" s="353"/>
      <c r="R5" s="11"/>
      <c r="S5" s="11">
        <f>IF(T5="Not Achieved",1,0)</f>
        <v>0</v>
      </c>
      <c r="T5" s="50">
        <f>IF(AND(A389="GreenPoint Elements",A350="Project has not yet met the following recommended minimum requirements for GreenPoint Rated Elements:"),"Not Achieved",0)</f>
        <v>0</v>
      </c>
      <c r="X5" s="239"/>
    </row>
    <row r="6" spans="1:30" s="46" customFormat="1" ht="50.25" customHeight="1">
      <c r="A6" s="392"/>
      <c r="B6" s="392"/>
      <c r="C6" s="392"/>
      <c r="D6" s="392"/>
      <c r="E6" s="392"/>
      <c r="F6" s="392"/>
      <c r="G6" s="392"/>
      <c r="H6" s="392"/>
      <c r="I6" s="392"/>
      <c r="J6" s="392"/>
      <c r="K6" s="52"/>
      <c r="L6" s="195">
        <v>0</v>
      </c>
      <c r="M6" s="195">
        <f>IF(N3="Whole House",20,8)</f>
        <v>8</v>
      </c>
      <c r="N6" s="195">
        <f>IF(N3="Whole House",5,2)</f>
        <v>2</v>
      </c>
      <c r="O6" s="195">
        <f>IF(N3="Whole House",6,2)</f>
        <v>2</v>
      </c>
      <c r="P6" s="195">
        <f>IF(N3="Whole House",8,4)</f>
        <v>4</v>
      </c>
      <c r="Q6" s="368"/>
      <c r="R6" s="1"/>
      <c r="X6" s="240"/>
      <c r="Y6" s="172"/>
      <c r="Z6" s="169"/>
      <c r="AA6" s="169"/>
      <c r="AB6" s="169"/>
      <c r="AC6" s="169"/>
      <c r="AD6" s="169"/>
    </row>
    <row r="7" spans="1:30" s="46" customFormat="1" ht="111" customHeight="1">
      <c r="A7" s="392"/>
      <c r="B7" s="392"/>
      <c r="C7" s="392"/>
      <c r="D7" s="392"/>
      <c r="E7" s="392"/>
      <c r="F7" s="392"/>
      <c r="G7" s="392"/>
      <c r="H7" s="392"/>
      <c r="I7" s="392"/>
      <c r="J7" s="392"/>
      <c r="K7" s="53"/>
      <c r="L7" s="196">
        <f>SUM($E$11:$E$318)</f>
        <v>0</v>
      </c>
      <c r="M7" s="196">
        <f>SUM($F$11:$F$318)</f>
        <v>0</v>
      </c>
      <c r="N7" s="196">
        <f>SUM($G$11:$G$318)</f>
        <v>0</v>
      </c>
      <c r="O7" s="196">
        <f>SUM($H$11:$H$318)</f>
        <v>0</v>
      </c>
      <c r="P7" s="196">
        <f>SUM($I$12:$I$318)</f>
        <v>0</v>
      </c>
      <c r="Q7" s="8"/>
      <c r="R7" s="51"/>
      <c r="X7" s="254"/>
      <c r="Y7" s="35"/>
      <c r="Z7" s="184"/>
      <c r="AA7" s="184"/>
      <c r="AB7" s="184"/>
      <c r="AC7" s="184"/>
      <c r="AD7" s="184"/>
    </row>
    <row r="8" spans="1:35" ht="45" customHeight="1">
      <c r="A8" s="385" t="s">
        <v>123</v>
      </c>
      <c r="B8" s="386"/>
      <c r="C8" s="386"/>
      <c r="D8" s="386"/>
      <c r="E8" s="386"/>
      <c r="F8" s="386"/>
      <c r="G8" s="386"/>
      <c r="H8" s="386"/>
      <c r="I8" s="386"/>
      <c r="J8" s="386"/>
      <c r="K8" s="2" t="s">
        <v>16</v>
      </c>
      <c r="L8" s="54" t="s">
        <v>144</v>
      </c>
      <c r="M8" s="54" t="s">
        <v>145</v>
      </c>
      <c r="N8" s="54" t="s">
        <v>146</v>
      </c>
      <c r="O8" s="54" t="s">
        <v>147</v>
      </c>
      <c r="P8" s="54" t="s">
        <v>148</v>
      </c>
      <c r="Q8" s="356"/>
      <c r="X8" s="348"/>
      <c r="Y8" s="347"/>
      <c r="Z8" s="347"/>
      <c r="AA8" s="347"/>
      <c r="AB8" s="347"/>
      <c r="AC8" s="347"/>
      <c r="AD8" s="347"/>
      <c r="AE8" s="347"/>
      <c r="AF8" s="347"/>
      <c r="AG8" s="347"/>
      <c r="AH8" s="57"/>
      <c r="AI8" s="57"/>
    </row>
    <row r="9" spans="1:35" ht="16.5" customHeight="1">
      <c r="A9" s="58" t="s">
        <v>70</v>
      </c>
      <c r="B9" s="59"/>
      <c r="C9" s="59"/>
      <c r="D9" s="59"/>
      <c r="E9" s="60"/>
      <c r="F9" s="60"/>
      <c r="G9" s="60"/>
      <c r="H9" s="60"/>
      <c r="I9" s="60"/>
      <c r="J9" s="61"/>
      <c r="K9" s="3"/>
      <c r="L9" s="387" t="s">
        <v>39</v>
      </c>
      <c r="M9" s="388"/>
      <c r="N9" s="388"/>
      <c r="O9" s="388"/>
      <c r="P9" s="389"/>
      <c r="Q9" s="369"/>
      <c r="R9" s="5" t="s">
        <v>135</v>
      </c>
      <c r="U9" s="62">
        <v>1</v>
      </c>
      <c r="V9" s="188">
        <v>0.1</v>
      </c>
      <c r="W9" s="62"/>
      <c r="X9" s="236"/>
      <c r="Y9" s="57"/>
      <c r="Z9" s="57"/>
      <c r="AA9" s="57"/>
      <c r="AB9" s="57"/>
      <c r="AC9" s="57"/>
      <c r="AD9" s="57"/>
      <c r="AE9" s="57"/>
      <c r="AF9" s="57"/>
      <c r="AG9" s="57"/>
      <c r="AH9" s="57"/>
      <c r="AI9" s="57"/>
    </row>
    <row r="10" spans="1:35" s="73" customFormat="1" ht="12.75">
      <c r="A10" s="64"/>
      <c r="B10" s="65"/>
      <c r="C10" s="65"/>
      <c r="D10" s="65"/>
      <c r="E10" s="66"/>
      <c r="F10" s="66"/>
      <c r="G10" s="66"/>
      <c r="H10" s="66"/>
      <c r="I10" s="66"/>
      <c r="J10" s="256" t="s">
        <v>74</v>
      </c>
      <c r="K10" s="67"/>
      <c r="L10" s="68"/>
      <c r="M10" s="68"/>
      <c r="N10" s="68"/>
      <c r="O10" s="68"/>
      <c r="P10" s="69"/>
      <c r="Q10" s="357"/>
      <c r="R10" s="5" t="s">
        <v>136</v>
      </c>
      <c r="S10" s="70"/>
      <c r="T10" s="56"/>
      <c r="U10" s="62">
        <v>2</v>
      </c>
      <c r="V10" s="188">
        <v>0.25</v>
      </c>
      <c r="W10" s="72"/>
      <c r="X10" s="236"/>
      <c r="Y10" s="65"/>
      <c r="Z10" s="65"/>
      <c r="AA10" s="65"/>
      <c r="AB10" s="65"/>
      <c r="AC10" s="65"/>
      <c r="AD10" s="65"/>
      <c r="AE10" s="65"/>
      <c r="AF10" s="65"/>
      <c r="AG10" s="65"/>
      <c r="AH10" s="65"/>
      <c r="AI10" s="65"/>
    </row>
    <row r="11" spans="1:35" s="73" customFormat="1" ht="15" customHeight="1">
      <c r="A11" s="317" t="s">
        <v>220</v>
      </c>
      <c r="B11" s="74" t="b">
        <f>IF(A11="Yes",TRUE,FALSE)</f>
        <v>0</v>
      </c>
      <c r="C11" s="216" t="b">
        <f>B11</f>
        <v>0</v>
      </c>
      <c r="D11" s="74"/>
      <c r="E11" s="75">
        <f>IF(C11,1,0)</f>
        <v>0</v>
      </c>
      <c r="F11" s="75"/>
      <c r="G11" s="75"/>
      <c r="H11" s="75">
        <f>IF(C11,1,0)</f>
        <v>0</v>
      </c>
      <c r="I11" s="75"/>
      <c r="J11" s="257" t="s">
        <v>313</v>
      </c>
      <c r="K11" s="76">
        <f>SUM(D11:I11)</f>
        <v>0</v>
      </c>
      <c r="L11" s="14">
        <v>1</v>
      </c>
      <c r="M11" s="12"/>
      <c r="N11" s="12"/>
      <c r="O11" s="12">
        <v>1</v>
      </c>
      <c r="P11" s="77"/>
      <c r="Q11" s="92"/>
      <c r="R11" s="5" t="s">
        <v>137</v>
      </c>
      <c r="S11" s="56"/>
      <c r="T11" s="56"/>
      <c r="U11" s="62">
        <v>3</v>
      </c>
      <c r="V11" s="188">
        <v>0.5</v>
      </c>
      <c r="W11" s="191">
        <v>0.5</v>
      </c>
      <c r="X11" s="236"/>
      <c r="Y11" s="65"/>
      <c r="Z11" s="65"/>
      <c r="AA11" s="65"/>
      <c r="AB11" s="65"/>
      <c r="AC11" s="65"/>
      <c r="AD11" s="65"/>
      <c r="AE11" s="65"/>
      <c r="AF11" s="65"/>
      <c r="AG11" s="65"/>
      <c r="AH11" s="65"/>
      <c r="AI11" s="65"/>
    </row>
    <row r="12" spans="1:24" s="73" customFormat="1" ht="14.25" customHeight="1">
      <c r="A12" s="317" t="s">
        <v>220</v>
      </c>
      <c r="B12" s="292" t="b">
        <f>IF(A12="Yes",TRUE,FALSE)</f>
        <v>0</v>
      </c>
      <c r="C12" s="217" t="b">
        <f>B12</f>
        <v>0</v>
      </c>
      <c r="D12" s="78"/>
      <c r="E12" s="79">
        <f>IF(C12,2,0)</f>
        <v>0</v>
      </c>
      <c r="F12" s="79"/>
      <c r="G12" s="79"/>
      <c r="H12" s="79"/>
      <c r="I12" s="79"/>
      <c r="J12" s="258" t="s">
        <v>31</v>
      </c>
      <c r="K12" s="76">
        <f>SUM(D12:I12)</f>
        <v>0</v>
      </c>
      <c r="L12" s="14">
        <v>2</v>
      </c>
      <c r="M12" s="12"/>
      <c r="N12" s="12"/>
      <c r="O12" s="12"/>
      <c r="P12" s="77"/>
      <c r="Q12" s="92"/>
      <c r="R12" s="5" t="s">
        <v>138</v>
      </c>
      <c r="U12" s="72">
        <v>4</v>
      </c>
      <c r="V12" s="188">
        <v>0.75</v>
      </c>
      <c r="W12" s="192">
        <v>0.75</v>
      </c>
      <c r="X12" s="236"/>
    </row>
    <row r="13" spans="1:24" ht="12.75">
      <c r="A13" s="318"/>
      <c r="B13" s="57"/>
      <c r="C13" s="216"/>
      <c r="D13" s="81"/>
      <c r="E13" s="75"/>
      <c r="F13" s="82"/>
      <c r="G13" s="82"/>
      <c r="H13" s="82"/>
      <c r="I13" s="82"/>
      <c r="J13" s="259" t="s">
        <v>32</v>
      </c>
      <c r="K13" s="76"/>
      <c r="L13" s="13"/>
      <c r="M13" s="13"/>
      <c r="N13" s="13"/>
      <c r="O13" s="13"/>
      <c r="P13" s="83"/>
      <c r="Q13" s="92"/>
      <c r="R13" s="5" t="s">
        <v>139</v>
      </c>
      <c r="U13" s="62">
        <v>5</v>
      </c>
      <c r="V13" s="84" t="s">
        <v>140</v>
      </c>
      <c r="W13" s="193" t="s">
        <v>140</v>
      </c>
      <c r="X13" s="242"/>
    </row>
    <row r="14" spans="1:17" ht="12.75" customHeight="1">
      <c r="A14" s="322"/>
      <c r="B14" s="57" t="b">
        <f>IF(A14&gt;0,TRUE,FALSE)</f>
        <v>0</v>
      </c>
      <c r="C14" s="219" t="b">
        <f>B14</f>
        <v>0</v>
      </c>
      <c r="D14" s="57"/>
      <c r="E14" s="66">
        <f>IF(C14,A14/2,0)</f>
        <v>0</v>
      </c>
      <c r="F14" s="66"/>
      <c r="G14" s="66"/>
      <c r="H14" s="66">
        <f>IF(C14,A14/2,0)</f>
        <v>0</v>
      </c>
      <c r="I14" s="85"/>
      <c r="J14" s="260" t="s">
        <v>336</v>
      </c>
      <c r="K14" s="76">
        <f>SUM(D14:I14)</f>
        <v>0</v>
      </c>
      <c r="L14" s="14">
        <v>2</v>
      </c>
      <c r="M14" s="12"/>
      <c r="N14" s="12"/>
      <c r="O14" s="12">
        <v>2</v>
      </c>
      <c r="P14" s="77"/>
      <c r="Q14" s="92"/>
    </row>
    <row r="15" spans="1:23" ht="12.75">
      <c r="A15" s="317" t="s">
        <v>220</v>
      </c>
      <c r="B15" s="292" t="b">
        <f>IF(A15="Yes",TRUE,FALSE)</f>
        <v>0</v>
      </c>
      <c r="C15" s="219" t="b">
        <f>B15</f>
        <v>0</v>
      </c>
      <c r="D15" s="57"/>
      <c r="E15" s="85"/>
      <c r="F15" s="85"/>
      <c r="G15" s="85"/>
      <c r="H15" s="85">
        <f>IF(C15,5,0)</f>
        <v>0</v>
      </c>
      <c r="I15" s="85"/>
      <c r="J15" s="260" t="s">
        <v>337</v>
      </c>
      <c r="K15" s="76">
        <f>H15</f>
        <v>0</v>
      </c>
      <c r="L15" s="14"/>
      <c r="M15" s="12"/>
      <c r="N15" s="12"/>
      <c r="O15" s="185" t="s">
        <v>219</v>
      </c>
      <c r="P15" s="77"/>
      <c r="Q15" s="92"/>
      <c r="T15" s="56">
        <v>1</v>
      </c>
      <c r="V15" s="63"/>
      <c r="W15" s="190">
        <v>0.15</v>
      </c>
    </row>
    <row r="16" spans="1:23" ht="12.75">
      <c r="A16" s="337"/>
      <c r="B16" s="81"/>
      <c r="C16" s="216"/>
      <c r="D16" s="81"/>
      <c r="E16" s="82"/>
      <c r="F16" s="82"/>
      <c r="G16" s="82"/>
      <c r="H16" s="82"/>
      <c r="I16" s="82"/>
      <c r="J16" s="259" t="s">
        <v>106</v>
      </c>
      <c r="K16" s="87"/>
      <c r="L16" s="88"/>
      <c r="M16" s="88"/>
      <c r="N16" s="88"/>
      <c r="O16" s="88"/>
      <c r="P16" s="89"/>
      <c r="Q16" s="92"/>
      <c r="S16" s="189">
        <v>0.25</v>
      </c>
      <c r="T16" s="56">
        <v>2</v>
      </c>
      <c r="V16" s="71"/>
      <c r="W16" s="190">
        <v>0.3</v>
      </c>
    </row>
    <row r="17" spans="1:23" ht="25.5">
      <c r="A17" s="338"/>
      <c r="B17" s="57"/>
      <c r="C17" s="219"/>
      <c r="D17" s="57"/>
      <c r="E17" s="85"/>
      <c r="F17" s="85"/>
      <c r="G17" s="85"/>
      <c r="H17" s="85"/>
      <c r="I17" s="85"/>
      <c r="J17" s="260" t="s">
        <v>167</v>
      </c>
      <c r="K17" s="91"/>
      <c r="L17" s="92"/>
      <c r="M17" s="92"/>
      <c r="N17" s="92"/>
      <c r="O17" s="92"/>
      <c r="P17" s="93"/>
      <c r="Q17" s="92"/>
      <c r="S17" s="90" t="s">
        <v>161</v>
      </c>
      <c r="T17" s="56">
        <v>3</v>
      </c>
      <c r="V17" s="71"/>
      <c r="W17" s="190">
        <v>0.5</v>
      </c>
    </row>
    <row r="18" spans="1:23" ht="16.5" customHeight="1">
      <c r="A18" s="338"/>
      <c r="B18" s="57"/>
      <c r="C18" s="219"/>
      <c r="D18" s="57"/>
      <c r="E18" s="85"/>
      <c r="F18" s="85"/>
      <c r="G18" s="85"/>
      <c r="H18" s="85"/>
      <c r="I18" s="85"/>
      <c r="J18" s="261" t="s">
        <v>316</v>
      </c>
      <c r="K18" s="91"/>
      <c r="L18" s="92"/>
      <c r="M18" s="92"/>
      <c r="N18" s="92"/>
      <c r="O18" s="92"/>
      <c r="P18" s="93"/>
      <c r="Q18" s="92"/>
      <c r="T18" s="56">
        <v>4</v>
      </c>
      <c r="V18" s="71"/>
      <c r="W18" s="86" t="s">
        <v>160</v>
      </c>
    </row>
    <row r="19" spans="1:22" ht="15.75" customHeight="1">
      <c r="A19" s="338"/>
      <c r="B19" s="57"/>
      <c r="C19" s="219"/>
      <c r="D19" s="57"/>
      <c r="E19" s="85"/>
      <c r="F19" s="85"/>
      <c r="G19" s="85"/>
      <c r="H19" s="85"/>
      <c r="I19" s="85"/>
      <c r="J19" s="261" t="s">
        <v>315</v>
      </c>
      <c r="K19" s="91"/>
      <c r="L19" s="92"/>
      <c r="M19" s="92"/>
      <c r="N19" s="92"/>
      <c r="O19" s="92"/>
      <c r="P19" s="93"/>
      <c r="Q19" s="92"/>
      <c r="V19" s="84"/>
    </row>
    <row r="20" spans="1:17" ht="15" customHeight="1">
      <c r="A20" s="338"/>
      <c r="B20" s="57"/>
      <c r="C20" s="219"/>
      <c r="D20" s="57"/>
      <c r="E20" s="85"/>
      <c r="F20" s="85"/>
      <c r="G20" s="85"/>
      <c r="H20" s="85"/>
      <c r="I20" s="85"/>
      <c r="J20" s="261" t="s">
        <v>314</v>
      </c>
      <c r="K20" s="91"/>
      <c r="L20" s="92"/>
      <c r="M20" s="92"/>
      <c r="N20" s="92"/>
      <c r="O20" s="92"/>
      <c r="P20" s="93"/>
      <c r="Q20" s="92"/>
    </row>
    <row r="21" spans="1:25" ht="21" customHeight="1">
      <c r="A21" s="338"/>
      <c r="B21" s="57"/>
      <c r="C21" s="219"/>
      <c r="D21" s="57"/>
      <c r="E21" s="85"/>
      <c r="F21" s="85"/>
      <c r="G21" s="85"/>
      <c r="H21" s="85"/>
      <c r="I21" s="85"/>
      <c r="J21" s="262" t="s">
        <v>124</v>
      </c>
      <c r="K21" s="91"/>
      <c r="L21" s="92"/>
      <c r="M21" s="92"/>
      <c r="N21" s="92"/>
      <c r="O21" s="92"/>
      <c r="P21" s="93"/>
      <c r="Q21" s="92"/>
      <c r="V21" s="188">
        <v>0.25</v>
      </c>
      <c r="W21" s="354">
        <v>0.4</v>
      </c>
      <c r="X21" s="241">
        <v>1</v>
      </c>
      <c r="Y21" s="56">
        <v>2</v>
      </c>
    </row>
    <row r="22" spans="1:25" ht="15" customHeight="1">
      <c r="A22" s="338"/>
      <c r="B22" s="57"/>
      <c r="C22" s="219"/>
      <c r="D22" s="57"/>
      <c r="E22" s="85"/>
      <c r="F22" s="85"/>
      <c r="G22" s="85"/>
      <c r="H22" s="85"/>
      <c r="I22" s="85"/>
      <c r="J22" s="261" t="s">
        <v>318</v>
      </c>
      <c r="K22" s="91"/>
      <c r="L22" s="92"/>
      <c r="M22" s="92"/>
      <c r="N22" s="92"/>
      <c r="O22" s="92"/>
      <c r="P22" s="93"/>
      <c r="Q22" s="92"/>
      <c r="S22" s="153" t="s">
        <v>18</v>
      </c>
      <c r="T22" s="153" t="s">
        <v>18</v>
      </c>
      <c r="U22" s="153" t="s">
        <v>18</v>
      </c>
      <c r="V22" s="188">
        <v>0.5</v>
      </c>
      <c r="W22" s="354">
        <v>0.7</v>
      </c>
      <c r="X22" s="241">
        <v>2</v>
      </c>
      <c r="Y22" s="56">
        <v>4</v>
      </c>
    </row>
    <row r="23" spans="1:22" ht="12" customHeight="1">
      <c r="A23" s="338"/>
      <c r="B23" s="57"/>
      <c r="C23" s="219"/>
      <c r="D23" s="57"/>
      <c r="E23" s="85"/>
      <c r="F23" s="85"/>
      <c r="G23" s="85"/>
      <c r="H23" s="85"/>
      <c r="I23" s="85"/>
      <c r="J23" s="138" t="s">
        <v>317</v>
      </c>
      <c r="K23" s="91"/>
      <c r="L23" s="92"/>
      <c r="M23" s="92"/>
      <c r="N23" s="92"/>
      <c r="O23" s="92"/>
      <c r="P23" s="93"/>
      <c r="Q23" s="92"/>
      <c r="S23" s="153" t="s">
        <v>237</v>
      </c>
      <c r="T23" s="153" t="s">
        <v>222</v>
      </c>
      <c r="U23" s="153" t="s">
        <v>220</v>
      </c>
      <c r="V23" s="188">
        <v>0.75</v>
      </c>
    </row>
    <row r="24" spans="1:22" ht="12.75">
      <c r="A24" s="338"/>
      <c r="B24" s="57"/>
      <c r="C24" s="219"/>
      <c r="D24" s="57"/>
      <c r="E24" s="85"/>
      <c r="F24" s="85"/>
      <c r="G24" s="85"/>
      <c r="H24" s="85"/>
      <c r="I24" s="85"/>
      <c r="J24" s="138" t="s">
        <v>319</v>
      </c>
      <c r="K24" s="91"/>
      <c r="L24" s="92"/>
      <c r="M24" s="92"/>
      <c r="N24" s="92"/>
      <c r="O24" s="92"/>
      <c r="P24" s="93"/>
      <c r="Q24" s="92"/>
      <c r="S24" s="153" t="s">
        <v>220</v>
      </c>
      <c r="T24" s="153"/>
      <c r="U24" s="153"/>
      <c r="V24" s="193" t="s">
        <v>140</v>
      </c>
    </row>
    <row r="25" spans="1:17" ht="27" customHeight="1">
      <c r="A25" s="339"/>
      <c r="B25" s="57"/>
      <c r="C25" s="219"/>
      <c r="D25" s="57"/>
      <c r="E25" s="85"/>
      <c r="F25" s="85"/>
      <c r="G25" s="85"/>
      <c r="H25" s="85"/>
      <c r="I25" s="85"/>
      <c r="J25" s="261" t="s">
        <v>338</v>
      </c>
      <c r="K25" s="94"/>
      <c r="L25" s="95"/>
      <c r="M25" s="95"/>
      <c r="N25" s="95"/>
      <c r="O25" s="95"/>
      <c r="P25" s="96"/>
      <c r="Q25" s="92"/>
    </row>
    <row r="26" spans="1:24" ht="15" customHeight="1">
      <c r="A26" s="317" t="s">
        <v>220</v>
      </c>
      <c r="B26" s="57" t="b">
        <f>IF(A26="Yes",TRUE,FALSE)</f>
        <v>0</v>
      </c>
      <c r="C26" s="219" t="b">
        <f>B26</f>
        <v>0</v>
      </c>
      <c r="D26" s="57"/>
      <c r="E26" s="85">
        <f>IF(OR(C27,C26),1,0)</f>
        <v>0</v>
      </c>
      <c r="F26" s="85"/>
      <c r="G26" s="85"/>
      <c r="H26" s="85"/>
      <c r="I26" s="85"/>
      <c r="J26" s="261" t="s">
        <v>104</v>
      </c>
      <c r="K26" s="76">
        <f>SUM(D26:I26)</f>
        <v>0</v>
      </c>
      <c r="L26" s="13">
        <v>1</v>
      </c>
      <c r="M26" s="12"/>
      <c r="N26" s="12"/>
      <c r="O26" s="12"/>
      <c r="P26" s="77"/>
      <c r="Q26" s="92"/>
      <c r="X26" s="251"/>
    </row>
    <row r="27" spans="1:17" ht="14.25" customHeight="1">
      <c r="A27" s="317" t="s">
        <v>220</v>
      </c>
      <c r="B27" s="57" t="b">
        <f>IF(A27="Yes",TRUE,FALSE)</f>
        <v>0</v>
      </c>
      <c r="C27" s="219" t="b">
        <f>B27</f>
        <v>0</v>
      </c>
      <c r="D27" s="57"/>
      <c r="E27" s="85">
        <f>IF(C27,1,0)</f>
        <v>0</v>
      </c>
      <c r="F27" s="85"/>
      <c r="G27" s="85"/>
      <c r="H27" s="85"/>
      <c r="I27" s="85"/>
      <c r="J27" s="261" t="s">
        <v>105</v>
      </c>
      <c r="K27" s="76">
        <f>SUM(D27:I27)</f>
        <v>0</v>
      </c>
      <c r="L27" s="13">
        <v>1</v>
      </c>
      <c r="M27" s="12"/>
      <c r="N27" s="12"/>
      <c r="O27" s="12"/>
      <c r="P27" s="77"/>
      <c r="Q27" s="92"/>
    </row>
    <row r="28" spans="1:17" ht="21.75" customHeight="1">
      <c r="A28" s="317" t="s">
        <v>220</v>
      </c>
      <c r="B28" s="57" t="b">
        <f>IF(A28="Yes",TRUE,FALSE)</f>
        <v>0</v>
      </c>
      <c r="C28" s="219" t="b">
        <f>B28</f>
        <v>0</v>
      </c>
      <c r="D28" s="57"/>
      <c r="E28" s="85">
        <f>IF(C28,1,0)</f>
        <v>0</v>
      </c>
      <c r="F28" s="85"/>
      <c r="G28" s="85"/>
      <c r="H28" s="85"/>
      <c r="I28" s="85"/>
      <c r="J28" s="263" t="s">
        <v>223</v>
      </c>
      <c r="K28" s="76">
        <f>SUM(D28:I28)</f>
        <v>0</v>
      </c>
      <c r="L28" s="14">
        <v>1</v>
      </c>
      <c r="M28" s="12"/>
      <c r="N28" s="12"/>
      <c r="O28" s="12"/>
      <c r="P28" s="77"/>
      <c r="Q28" s="92"/>
    </row>
    <row r="29" spans="1:17" ht="15.75" customHeight="1">
      <c r="A29" s="317" t="s">
        <v>220</v>
      </c>
      <c r="B29" s="57" t="b">
        <f>IF(A29="Yes",TRUE,FALSE)</f>
        <v>0</v>
      </c>
      <c r="C29" s="219" t="b">
        <f>B29</f>
        <v>0</v>
      </c>
      <c r="D29" s="57"/>
      <c r="E29" s="85">
        <f>IF(C29,1,0)</f>
        <v>0</v>
      </c>
      <c r="F29" s="85"/>
      <c r="G29" s="85"/>
      <c r="H29" s="85"/>
      <c r="I29" s="85"/>
      <c r="J29" s="260" t="s">
        <v>111</v>
      </c>
      <c r="K29" s="76">
        <f>SUM(D29:I29)</f>
        <v>0</v>
      </c>
      <c r="L29" s="14">
        <v>1</v>
      </c>
      <c r="M29" s="12"/>
      <c r="N29" s="12"/>
      <c r="O29" s="12"/>
      <c r="P29" s="77"/>
      <c r="Q29" s="92"/>
    </row>
    <row r="30" spans="1:17" ht="15" customHeight="1">
      <c r="A30" s="337"/>
      <c r="B30" s="57"/>
      <c r="C30" s="219"/>
      <c r="D30" s="57"/>
      <c r="E30" s="85"/>
      <c r="F30" s="85"/>
      <c r="G30" s="85"/>
      <c r="H30" s="85"/>
      <c r="I30" s="85"/>
      <c r="J30" s="264" t="s">
        <v>107</v>
      </c>
      <c r="K30" s="87"/>
      <c r="L30" s="97"/>
      <c r="M30" s="88"/>
      <c r="N30" s="88"/>
      <c r="O30" s="88"/>
      <c r="P30" s="89"/>
      <c r="Q30" s="92"/>
    </row>
    <row r="31" spans="1:17" ht="12.75" customHeight="1">
      <c r="A31" s="338"/>
      <c r="B31" s="57"/>
      <c r="C31" s="219"/>
      <c r="D31" s="57"/>
      <c r="E31" s="85"/>
      <c r="F31" s="85"/>
      <c r="G31" s="85"/>
      <c r="H31" s="85"/>
      <c r="I31" s="85"/>
      <c r="J31" s="264" t="s">
        <v>108</v>
      </c>
      <c r="K31" s="91"/>
      <c r="L31" s="98"/>
      <c r="M31" s="92"/>
      <c r="N31" s="92"/>
      <c r="O31" s="92"/>
      <c r="P31" s="93"/>
      <c r="Q31" s="92"/>
    </row>
    <row r="32" spans="1:17" ht="12.75" customHeight="1">
      <c r="A32" s="338"/>
      <c r="B32" s="57"/>
      <c r="C32" s="219"/>
      <c r="D32" s="57"/>
      <c r="E32" s="85"/>
      <c r="F32" s="85"/>
      <c r="G32" s="85"/>
      <c r="H32" s="85"/>
      <c r="I32" s="85"/>
      <c r="J32" s="264" t="s">
        <v>109</v>
      </c>
      <c r="K32" s="91"/>
      <c r="L32" s="98"/>
      <c r="M32" s="92"/>
      <c r="N32" s="92"/>
      <c r="O32" s="92"/>
      <c r="P32" s="93"/>
      <c r="Q32" s="92"/>
    </row>
    <row r="33" spans="1:17" ht="12.75" customHeight="1">
      <c r="A33" s="339"/>
      <c r="B33" s="100"/>
      <c r="C33" s="217"/>
      <c r="D33" s="100"/>
      <c r="E33" s="101"/>
      <c r="F33" s="101"/>
      <c r="G33" s="101"/>
      <c r="H33" s="101"/>
      <c r="I33" s="101"/>
      <c r="J33" s="265" t="s">
        <v>110</v>
      </c>
      <c r="K33" s="94"/>
      <c r="L33" s="102"/>
      <c r="M33" s="95"/>
      <c r="N33" s="95"/>
      <c r="O33" s="95"/>
      <c r="P33" s="96"/>
      <c r="Q33" s="92"/>
    </row>
    <row r="34" spans="1:17" ht="12.75">
      <c r="A34" s="318"/>
      <c r="B34" s="81"/>
      <c r="C34" s="216"/>
      <c r="D34" s="81"/>
      <c r="E34" s="82"/>
      <c r="F34" s="82"/>
      <c r="G34" s="82"/>
      <c r="H34" s="82"/>
      <c r="I34" s="82"/>
      <c r="J34" s="259" t="s">
        <v>25</v>
      </c>
      <c r="K34" s="76"/>
      <c r="L34" s="13"/>
      <c r="M34" s="13"/>
      <c r="N34" s="13"/>
      <c r="O34" s="13"/>
      <c r="P34" s="83"/>
      <c r="Q34" s="92"/>
    </row>
    <row r="35" spans="1:24" s="73" customFormat="1" ht="15" customHeight="1">
      <c r="A35" s="317" t="s">
        <v>220</v>
      </c>
      <c r="B35" s="65" t="b">
        <f>IF(A35="Yes",TRUE,FALSE)</f>
        <v>0</v>
      </c>
      <c r="C35" s="219" t="b">
        <f>B35</f>
        <v>0</v>
      </c>
      <c r="D35" s="65"/>
      <c r="E35" s="85">
        <f aca="true" t="shared" si="0" ref="E35:E42">IF(C35,1,0)</f>
        <v>0</v>
      </c>
      <c r="F35" s="66"/>
      <c r="G35" s="66"/>
      <c r="H35" s="66"/>
      <c r="I35" s="66"/>
      <c r="J35" s="260" t="s">
        <v>29</v>
      </c>
      <c r="K35" s="76">
        <f>SUM(D35:I35)</f>
        <v>0</v>
      </c>
      <c r="L35" s="14">
        <v>1</v>
      </c>
      <c r="M35" s="12"/>
      <c r="N35" s="12"/>
      <c r="O35" s="12"/>
      <c r="P35" s="77"/>
      <c r="Q35" s="92"/>
      <c r="R35" s="103"/>
      <c r="X35" s="243"/>
    </row>
    <row r="36" spans="1:24" s="73" customFormat="1" ht="12.75" customHeight="1">
      <c r="A36" s="317" t="s">
        <v>220</v>
      </c>
      <c r="B36" s="65" t="b">
        <f>IF(A36="Yes",TRUE,FALSE)</f>
        <v>0</v>
      </c>
      <c r="C36" s="219" t="b">
        <f>B36</f>
        <v>0</v>
      </c>
      <c r="D36" s="65"/>
      <c r="E36" s="85">
        <f t="shared" si="0"/>
        <v>0</v>
      </c>
      <c r="F36" s="66"/>
      <c r="G36" s="66"/>
      <c r="H36" s="66"/>
      <c r="I36" s="66"/>
      <c r="J36" s="260" t="s">
        <v>30</v>
      </c>
      <c r="K36" s="76">
        <f>SUM(D36:I36)</f>
        <v>0</v>
      </c>
      <c r="L36" s="14">
        <v>1</v>
      </c>
      <c r="M36" s="12"/>
      <c r="N36" s="12"/>
      <c r="O36" s="12"/>
      <c r="P36" s="77"/>
      <c r="Q36" s="92"/>
      <c r="R36" s="103"/>
      <c r="X36" s="252"/>
    </row>
    <row r="37" spans="1:24" s="73" customFormat="1" ht="14.25" customHeight="1">
      <c r="A37" s="317" t="s">
        <v>220</v>
      </c>
      <c r="B37" s="65" t="b">
        <f>IF(A37="Yes",TRUE,FALSE)</f>
        <v>0</v>
      </c>
      <c r="C37" s="217" t="b">
        <f>B37</f>
        <v>0</v>
      </c>
      <c r="D37" s="78"/>
      <c r="E37" s="101">
        <f t="shared" si="0"/>
        <v>0</v>
      </c>
      <c r="F37" s="79"/>
      <c r="G37" s="79"/>
      <c r="H37" s="79"/>
      <c r="I37" s="79"/>
      <c r="J37" s="258" t="s">
        <v>19</v>
      </c>
      <c r="K37" s="76">
        <f>SUM(D37:I37)</f>
        <v>0</v>
      </c>
      <c r="L37" s="14">
        <v>1</v>
      </c>
      <c r="M37" s="12"/>
      <c r="N37" s="12"/>
      <c r="O37" s="12"/>
      <c r="P37" s="77"/>
      <c r="Q37" s="92"/>
      <c r="R37" s="103"/>
      <c r="X37" s="252"/>
    </row>
    <row r="38" spans="1:24" s="73" customFormat="1" ht="15.75" customHeight="1">
      <c r="A38" s="319"/>
      <c r="B38" s="74"/>
      <c r="C38" s="216"/>
      <c r="D38" s="74"/>
      <c r="E38" s="82"/>
      <c r="F38" s="75"/>
      <c r="G38" s="75"/>
      <c r="H38" s="75"/>
      <c r="I38" s="75"/>
      <c r="J38" s="259" t="s">
        <v>26</v>
      </c>
      <c r="K38" s="76"/>
      <c r="L38" s="13"/>
      <c r="M38" s="13"/>
      <c r="N38" s="13"/>
      <c r="O38" s="13"/>
      <c r="P38" s="83"/>
      <c r="Q38" s="92"/>
      <c r="R38" s="103"/>
      <c r="X38" s="243"/>
    </row>
    <row r="39" spans="1:24" s="73" customFormat="1" ht="12.75" customHeight="1">
      <c r="A39" s="317" t="s">
        <v>220</v>
      </c>
      <c r="B39" s="65" t="b">
        <f>IF(A39="Yes",TRUE,FALSE)</f>
        <v>0</v>
      </c>
      <c r="C39" s="219" t="b">
        <f>B39</f>
        <v>0</v>
      </c>
      <c r="D39" s="65"/>
      <c r="E39" s="85">
        <f t="shared" si="0"/>
        <v>0</v>
      </c>
      <c r="F39" s="66"/>
      <c r="G39" s="66"/>
      <c r="H39" s="66"/>
      <c r="I39" s="66"/>
      <c r="J39" s="260" t="s">
        <v>28</v>
      </c>
      <c r="K39" s="76">
        <f>SUM(D39:I39)</f>
        <v>0</v>
      </c>
      <c r="L39" s="14">
        <v>1</v>
      </c>
      <c r="M39" s="12"/>
      <c r="N39" s="12"/>
      <c r="O39" s="12"/>
      <c r="P39" s="77"/>
      <c r="Q39" s="92"/>
      <c r="R39" s="103"/>
      <c r="X39" s="243"/>
    </row>
    <row r="40" spans="1:17" ht="16.5" customHeight="1">
      <c r="A40" s="317" t="s">
        <v>220</v>
      </c>
      <c r="B40" s="65" t="b">
        <f>IF(A40="Yes",TRUE,FALSE)</f>
        <v>0</v>
      </c>
      <c r="C40" s="219" t="b">
        <f>B40</f>
        <v>0</v>
      </c>
      <c r="D40" s="57"/>
      <c r="E40" s="85">
        <f t="shared" si="0"/>
        <v>0</v>
      </c>
      <c r="F40" s="85"/>
      <c r="G40" s="85"/>
      <c r="H40" s="85"/>
      <c r="I40" s="85"/>
      <c r="J40" s="260" t="s">
        <v>249</v>
      </c>
      <c r="K40" s="76">
        <f>SUM(D40:I40)</f>
        <v>0</v>
      </c>
      <c r="L40" s="14">
        <v>1</v>
      </c>
      <c r="M40" s="12"/>
      <c r="N40" s="12"/>
      <c r="O40" s="12"/>
      <c r="P40" s="77"/>
      <c r="Q40" s="92"/>
    </row>
    <row r="41" spans="1:17" ht="13.5" customHeight="1">
      <c r="A41" s="317" t="s">
        <v>220</v>
      </c>
      <c r="B41" s="65" t="b">
        <f>IF(A41="Yes",TRUE,FALSE)</f>
        <v>0</v>
      </c>
      <c r="C41" s="219" t="b">
        <f>B41</f>
        <v>0</v>
      </c>
      <c r="D41" s="57"/>
      <c r="E41" s="85">
        <f t="shared" si="0"/>
        <v>0</v>
      </c>
      <c r="F41" s="85"/>
      <c r="G41" s="85"/>
      <c r="H41" s="85"/>
      <c r="I41" s="85"/>
      <c r="J41" s="260" t="s">
        <v>260</v>
      </c>
      <c r="K41" s="76">
        <f>SUM(D41:I41)</f>
        <v>0</v>
      </c>
      <c r="L41" s="14">
        <v>1</v>
      </c>
      <c r="M41" s="12"/>
      <c r="N41" s="12"/>
      <c r="O41" s="12"/>
      <c r="P41" s="77"/>
      <c r="Q41" s="92"/>
    </row>
    <row r="42" spans="1:17" ht="12.75">
      <c r="A42" s="317" t="s">
        <v>220</v>
      </c>
      <c r="B42" s="292" t="b">
        <f>IF(A42="Yes",TRUE,FALSE)</f>
        <v>0</v>
      </c>
      <c r="C42" s="217" t="b">
        <f>B42</f>
        <v>0</v>
      </c>
      <c r="D42" s="100"/>
      <c r="E42" s="101">
        <f t="shared" si="0"/>
        <v>0</v>
      </c>
      <c r="F42" s="101"/>
      <c r="G42" s="101"/>
      <c r="H42" s="101"/>
      <c r="I42" s="101"/>
      <c r="J42" s="258" t="s">
        <v>69</v>
      </c>
      <c r="K42" s="76">
        <f>SUM(D42:I42)</f>
        <v>0</v>
      </c>
      <c r="L42" s="104">
        <v>1</v>
      </c>
      <c r="M42" s="105"/>
      <c r="N42" s="105"/>
      <c r="O42" s="105"/>
      <c r="P42" s="106"/>
      <c r="Q42" s="92"/>
    </row>
    <row r="43" spans="1:17" ht="13.5" customHeight="1">
      <c r="A43" s="223"/>
      <c r="B43" s="57"/>
      <c r="C43" s="219"/>
      <c r="D43" s="57"/>
      <c r="E43" s="85"/>
      <c r="F43" s="85"/>
      <c r="G43" s="85"/>
      <c r="H43" s="85"/>
      <c r="I43" s="85"/>
      <c r="J43" s="107" t="s">
        <v>226</v>
      </c>
      <c r="K43" s="108">
        <f>SUM(K11:K42)</f>
        <v>0</v>
      </c>
      <c r="L43" s="13"/>
      <c r="M43" s="13"/>
      <c r="N43" s="13"/>
      <c r="O43" s="13"/>
      <c r="P43" s="83"/>
      <c r="Q43" s="92"/>
    </row>
    <row r="44" spans="1:18" ht="12.75" customHeight="1">
      <c r="A44" s="225" t="s">
        <v>38</v>
      </c>
      <c r="B44" s="109"/>
      <c r="C44" s="220"/>
      <c r="D44" s="109"/>
      <c r="E44" s="110"/>
      <c r="F44" s="110"/>
      <c r="G44" s="110"/>
      <c r="H44" s="110"/>
      <c r="I44" s="110"/>
      <c r="J44" s="61"/>
      <c r="K44" s="76"/>
      <c r="L44" s="388" t="s">
        <v>39</v>
      </c>
      <c r="M44" s="388"/>
      <c r="N44" s="388"/>
      <c r="O44" s="388"/>
      <c r="P44" s="389"/>
      <c r="Q44" s="369"/>
      <c r="R44" s="56"/>
    </row>
    <row r="45" spans="1:17" ht="12.75">
      <c r="A45" s="317" t="s">
        <v>220</v>
      </c>
      <c r="B45" s="57" t="b">
        <f>IF(A45="Yes",TRUE,FALSE)</f>
        <v>0</v>
      </c>
      <c r="C45" s="219" t="b">
        <f>B45</f>
        <v>0</v>
      </c>
      <c r="D45" s="57"/>
      <c r="E45" s="85">
        <f>IF(C45,1,0)</f>
        <v>0</v>
      </c>
      <c r="F45" s="85"/>
      <c r="G45" s="85"/>
      <c r="H45" s="85"/>
      <c r="I45" s="85">
        <f>IF(C45,1,0)</f>
        <v>0</v>
      </c>
      <c r="J45" s="266" t="s">
        <v>168</v>
      </c>
      <c r="K45" s="76">
        <f>SUM(D45:I45)</f>
        <v>0</v>
      </c>
      <c r="L45" s="15">
        <v>1</v>
      </c>
      <c r="M45" s="17"/>
      <c r="N45" s="17"/>
      <c r="O45" s="17"/>
      <c r="P45" s="15">
        <v>1</v>
      </c>
      <c r="Q45" s="166"/>
    </row>
    <row r="46" spans="1:24" s="73" customFormat="1" ht="12.75">
      <c r="A46" s="319"/>
      <c r="B46" s="74"/>
      <c r="C46" s="216"/>
      <c r="D46" s="74"/>
      <c r="E46" s="75"/>
      <c r="F46" s="75"/>
      <c r="G46" s="75"/>
      <c r="H46" s="75"/>
      <c r="I46" s="75"/>
      <c r="J46" s="267" t="s">
        <v>262</v>
      </c>
      <c r="K46" s="76"/>
      <c r="L46" s="111"/>
      <c r="M46" s="32"/>
      <c r="N46" s="32"/>
      <c r="O46" s="32"/>
      <c r="P46" s="32"/>
      <c r="Q46" s="358"/>
      <c r="X46" s="243"/>
    </row>
    <row r="47" spans="1:24" ht="28.5" customHeight="1">
      <c r="A47" s="317"/>
      <c r="B47" s="57" t="b">
        <f>IF(A47="Yes",TRUE,FALSE)</f>
        <v>0</v>
      </c>
      <c r="C47" s="219" t="b">
        <f>IF(A47="N/A",TRUE,FALSE)</f>
        <v>0</v>
      </c>
      <c r="D47" s="57"/>
      <c r="E47" s="85"/>
      <c r="F47" s="85"/>
      <c r="G47" s="85"/>
      <c r="H47" s="85"/>
      <c r="I47" s="85"/>
      <c r="J47" s="261" t="s">
        <v>263</v>
      </c>
      <c r="K47" s="76">
        <f>SUM(D47:I47)</f>
        <v>0</v>
      </c>
      <c r="L47" s="112"/>
      <c r="M47" s="32"/>
      <c r="N47" s="113"/>
      <c r="O47" s="16" t="s">
        <v>79</v>
      </c>
      <c r="P47" s="113"/>
      <c r="Q47" s="359"/>
      <c r="X47" s="253"/>
    </row>
    <row r="48" spans="1:24" s="73" customFormat="1" ht="48.75" customHeight="1">
      <c r="A48" s="322"/>
      <c r="B48" s="57"/>
      <c r="C48" s="219"/>
      <c r="D48" s="65"/>
      <c r="E48" s="66"/>
      <c r="F48" s="66"/>
      <c r="G48" s="66"/>
      <c r="H48" s="66">
        <f>A48</f>
        <v>0</v>
      </c>
      <c r="I48" s="66"/>
      <c r="J48" s="261" t="s">
        <v>266</v>
      </c>
      <c r="K48" s="76">
        <f>A48</f>
        <v>0</v>
      </c>
      <c r="L48" s="15"/>
      <c r="M48" s="17"/>
      <c r="N48" s="17"/>
      <c r="O48" s="17">
        <v>2</v>
      </c>
      <c r="P48" s="17"/>
      <c r="Q48" s="166"/>
      <c r="X48" s="244"/>
    </row>
    <row r="49" spans="1:24" s="73" customFormat="1" ht="13.5" customHeight="1">
      <c r="A49" s="317" t="s">
        <v>220</v>
      </c>
      <c r="B49" s="57" t="b">
        <f>IF(A49="Yes",TRUE,FALSE)</f>
        <v>0</v>
      </c>
      <c r="C49" s="219" t="b">
        <f>B49</f>
        <v>0</v>
      </c>
      <c r="D49" s="78"/>
      <c r="E49" s="79"/>
      <c r="F49" s="79"/>
      <c r="G49" s="79"/>
      <c r="H49" s="66">
        <f>IF(C49,2,0)</f>
        <v>0</v>
      </c>
      <c r="I49" s="79"/>
      <c r="J49" s="268" t="s">
        <v>264</v>
      </c>
      <c r="K49" s="76">
        <f>SUM(D49:I49)</f>
        <v>0</v>
      </c>
      <c r="L49" s="15"/>
      <c r="M49" s="17"/>
      <c r="N49" s="17"/>
      <c r="O49" s="17">
        <v>2</v>
      </c>
      <c r="P49" s="17"/>
      <c r="Q49" s="166"/>
      <c r="X49" s="243"/>
    </row>
    <row r="50" spans="1:24" s="73" customFormat="1" ht="12.75">
      <c r="A50" s="317" t="s">
        <v>220</v>
      </c>
      <c r="B50" s="293" t="b">
        <f>IF(A50="Yes",TRUE,FALSE)</f>
        <v>0</v>
      </c>
      <c r="C50" s="194" t="b">
        <f>B50</f>
        <v>0</v>
      </c>
      <c r="D50" s="114"/>
      <c r="E50" s="23"/>
      <c r="F50" s="23"/>
      <c r="G50" s="23">
        <f>IF(C50,2,0)</f>
        <v>0</v>
      </c>
      <c r="H50" s="23"/>
      <c r="I50" s="23"/>
      <c r="J50" s="269" t="s">
        <v>20</v>
      </c>
      <c r="K50" s="76">
        <f>SUM(D50:I50)</f>
        <v>0</v>
      </c>
      <c r="L50" s="111"/>
      <c r="M50" s="32"/>
      <c r="N50" s="17">
        <v>2</v>
      </c>
      <c r="O50" s="32"/>
      <c r="P50" s="32"/>
      <c r="Q50" s="358"/>
      <c r="X50" s="243"/>
    </row>
    <row r="51" spans="1:24" ht="14.25" customHeight="1">
      <c r="A51" s="224"/>
      <c r="B51" s="100"/>
      <c r="C51" s="217"/>
      <c r="D51" s="100"/>
      <c r="E51" s="101"/>
      <c r="F51" s="101"/>
      <c r="G51" s="101"/>
      <c r="H51" s="101"/>
      <c r="I51" s="101"/>
      <c r="J51" s="115" t="s">
        <v>158</v>
      </c>
      <c r="K51" s="108">
        <f>SUM(K45:K50)</f>
        <v>0</v>
      </c>
      <c r="L51" s="18"/>
      <c r="M51" s="18"/>
      <c r="N51" s="18"/>
      <c r="O51" s="18"/>
      <c r="P51" s="116"/>
      <c r="Q51" s="18"/>
      <c r="X51" s="243"/>
    </row>
    <row r="52" spans="1:24" ht="12.75" customHeight="1">
      <c r="A52" s="225" t="s">
        <v>61</v>
      </c>
      <c r="B52" s="109"/>
      <c r="C52" s="220"/>
      <c r="D52" s="109"/>
      <c r="E52" s="110"/>
      <c r="F52" s="110"/>
      <c r="G52" s="110"/>
      <c r="H52" s="110"/>
      <c r="I52" s="110"/>
      <c r="J52" s="61"/>
      <c r="K52" s="76"/>
      <c r="L52" s="378" t="s">
        <v>39</v>
      </c>
      <c r="M52" s="378"/>
      <c r="N52" s="378"/>
      <c r="O52" s="378"/>
      <c r="P52" s="378"/>
      <c r="Q52" s="370"/>
      <c r="W52" s="117">
        <v>0</v>
      </c>
      <c r="X52" s="243"/>
    </row>
    <row r="53" spans="1:17" ht="12.75" customHeight="1">
      <c r="A53" s="224"/>
      <c r="B53" s="74">
        <f>IF(A53&gt;0,(LOOKUP(A53,$V$9:$V$13,$U$9:$U$13)),0)</f>
        <v>0</v>
      </c>
      <c r="C53" s="216">
        <f>IF(B53=5,1,A53)</f>
        <v>0</v>
      </c>
      <c r="D53" s="74"/>
      <c r="E53" s="75"/>
      <c r="F53" s="75"/>
      <c r="G53" s="75"/>
      <c r="H53" s="75"/>
      <c r="I53" s="75"/>
      <c r="J53" s="267" t="s">
        <v>186</v>
      </c>
      <c r="K53" s="76"/>
      <c r="L53" s="118"/>
      <c r="M53" s="118"/>
      <c r="N53" s="118"/>
      <c r="O53" s="118"/>
      <c r="P53" s="119"/>
      <c r="Q53" s="133"/>
    </row>
    <row r="54" spans="1:23" ht="14.25" customHeight="1">
      <c r="A54" s="320"/>
      <c r="B54" s="294">
        <f>IF(A54&gt;0,(LOOKUP(A54,$V$9:$V$13,$U$9:$U$13)),0)</f>
        <v>0</v>
      </c>
      <c r="C54" s="219">
        <f>IF(B54=5,1,A54)</f>
        <v>0</v>
      </c>
      <c r="D54" s="65"/>
      <c r="E54" s="85"/>
      <c r="F54" s="85"/>
      <c r="G54" s="85"/>
      <c r="H54" s="85">
        <f>SUM(C54,C55)</f>
        <v>0</v>
      </c>
      <c r="I54" s="85"/>
      <c r="J54" s="262" t="s">
        <v>184</v>
      </c>
      <c r="K54" s="87">
        <f>H54</f>
        <v>0</v>
      </c>
      <c r="L54" s="20"/>
      <c r="M54" s="17"/>
      <c r="N54" s="19"/>
      <c r="O54" s="19">
        <v>1</v>
      </c>
      <c r="P54" s="19"/>
      <c r="Q54" s="315"/>
      <c r="S54" s="65"/>
      <c r="T54" s="65"/>
      <c r="U54" s="120"/>
      <c r="V54" s="120"/>
      <c r="W54" s="120"/>
    </row>
    <row r="55" spans="1:17" ht="12.75">
      <c r="A55" s="320"/>
      <c r="B55" s="292">
        <f>IF(A55&gt;0,(LOOKUP(A55,$V$9:$V$13,$U$9:$U$13)),0)</f>
        <v>0</v>
      </c>
      <c r="C55" s="217">
        <f>IF(B55=5,1,A55)</f>
        <v>0</v>
      </c>
      <c r="D55" s="57"/>
      <c r="E55" s="85"/>
      <c r="F55" s="85"/>
      <c r="G55" s="85"/>
      <c r="H55" s="85">
        <f>C55</f>
        <v>0</v>
      </c>
      <c r="I55" s="85"/>
      <c r="J55" s="262" t="s">
        <v>185</v>
      </c>
      <c r="K55" s="87">
        <f>H55</f>
        <v>0</v>
      </c>
      <c r="L55" s="15"/>
      <c r="M55" s="17"/>
      <c r="N55" s="17"/>
      <c r="O55" s="17">
        <v>1</v>
      </c>
      <c r="P55" s="17"/>
      <c r="Q55" s="166"/>
    </row>
    <row r="56" spans="1:24" s="73" customFormat="1" ht="13.5" customHeight="1">
      <c r="A56" s="317" t="s">
        <v>220</v>
      </c>
      <c r="B56" s="114" t="b">
        <f>IF(A56="Yes",TRUE,FALSE)</f>
        <v>0</v>
      </c>
      <c r="C56" s="194" t="b">
        <f>B56</f>
        <v>0</v>
      </c>
      <c r="D56" s="114"/>
      <c r="E56" s="23"/>
      <c r="F56" s="23"/>
      <c r="G56" s="23"/>
      <c r="H56" s="23"/>
      <c r="I56" s="23"/>
      <c r="J56" s="270" t="s">
        <v>187</v>
      </c>
      <c r="K56" s="76">
        <v>0</v>
      </c>
      <c r="L56" s="15"/>
      <c r="M56" s="329"/>
      <c r="N56" s="16" t="s">
        <v>79</v>
      </c>
      <c r="O56" s="16" t="s">
        <v>79</v>
      </c>
      <c r="P56" s="17"/>
      <c r="Q56" s="166"/>
      <c r="X56" s="252"/>
    </row>
    <row r="57" spans="1:17" ht="12.75">
      <c r="A57" s="321"/>
      <c r="B57" s="74"/>
      <c r="C57" s="216"/>
      <c r="D57" s="81"/>
      <c r="E57" s="82"/>
      <c r="F57" s="82"/>
      <c r="G57" s="82"/>
      <c r="H57" s="82"/>
      <c r="I57" s="82"/>
      <c r="J57" s="267" t="s">
        <v>71</v>
      </c>
      <c r="K57" s="76"/>
      <c r="L57" s="30"/>
      <c r="M57" s="26"/>
      <c r="N57" s="26"/>
      <c r="O57" s="26"/>
      <c r="P57" s="15"/>
      <c r="Q57" s="166"/>
    </row>
    <row r="58" spans="1:17" ht="12.75">
      <c r="A58" s="317" t="s">
        <v>220</v>
      </c>
      <c r="B58" s="294" t="b">
        <f aca="true" t="shared" si="1" ref="B58:B64">IF(A58="Yes",TRUE,FALSE)</f>
        <v>0</v>
      </c>
      <c r="C58" s="219" t="b">
        <f>B58</f>
        <v>0</v>
      </c>
      <c r="D58" s="57"/>
      <c r="E58" s="85"/>
      <c r="F58" s="85">
        <f>IF(C58,2,0)</f>
        <v>0</v>
      </c>
      <c r="G58" s="85"/>
      <c r="H58" s="85"/>
      <c r="I58" s="85"/>
      <c r="J58" s="262" t="s">
        <v>131</v>
      </c>
      <c r="K58" s="76">
        <f aca="true" t="shared" si="2" ref="K58:K64">SUM(D58:I58)</f>
        <v>0</v>
      </c>
      <c r="L58" s="20"/>
      <c r="M58" s="17"/>
      <c r="N58" s="21">
        <v>2</v>
      </c>
      <c r="O58" s="19"/>
      <c r="P58" s="19"/>
      <c r="Q58" s="315"/>
    </row>
    <row r="59" spans="1:17" ht="12.75">
      <c r="A59" s="317" t="s">
        <v>220</v>
      </c>
      <c r="B59" s="292" t="b">
        <f t="shared" si="1"/>
        <v>0</v>
      </c>
      <c r="C59" s="217" t="b">
        <f>B59</f>
        <v>0</v>
      </c>
      <c r="D59" s="100"/>
      <c r="E59" s="101"/>
      <c r="F59" s="101"/>
      <c r="G59" s="101">
        <f>IF(C59,2,0)</f>
        <v>0</v>
      </c>
      <c r="H59" s="101"/>
      <c r="I59" s="101"/>
      <c r="J59" s="271" t="s">
        <v>112</v>
      </c>
      <c r="K59" s="76">
        <f t="shared" si="2"/>
        <v>0</v>
      </c>
      <c r="L59" s="15"/>
      <c r="M59" s="17"/>
      <c r="N59" s="17"/>
      <c r="O59" s="17">
        <v>2</v>
      </c>
      <c r="P59" s="17"/>
      <c r="Q59" s="166"/>
    </row>
    <row r="60" spans="1:24" s="73" customFormat="1" ht="18" customHeight="1">
      <c r="A60" s="317" t="s">
        <v>220</v>
      </c>
      <c r="B60" s="114" t="b">
        <f t="shared" si="1"/>
        <v>0</v>
      </c>
      <c r="C60" s="194" t="b">
        <f>B60</f>
        <v>0</v>
      </c>
      <c r="D60" s="114"/>
      <c r="E60" s="23"/>
      <c r="F60" s="23"/>
      <c r="G60" s="23"/>
      <c r="H60" s="23">
        <f>IF(C60,1,0)</f>
        <v>0</v>
      </c>
      <c r="I60" s="23"/>
      <c r="J60" s="270" t="s">
        <v>94</v>
      </c>
      <c r="K60" s="76">
        <f t="shared" si="2"/>
        <v>0</v>
      </c>
      <c r="L60" s="15"/>
      <c r="M60" s="17"/>
      <c r="N60" s="17"/>
      <c r="O60" s="17">
        <v>1</v>
      </c>
      <c r="P60" s="17"/>
      <c r="Q60" s="166"/>
      <c r="X60" s="243"/>
    </row>
    <row r="61" spans="1:17" ht="12.75">
      <c r="A61" s="321"/>
      <c r="B61" s="74"/>
      <c r="C61" s="216"/>
      <c r="D61" s="81"/>
      <c r="E61" s="82"/>
      <c r="F61" s="82"/>
      <c r="G61" s="82"/>
      <c r="H61" s="75"/>
      <c r="I61" s="82"/>
      <c r="J61" s="272" t="s">
        <v>82</v>
      </c>
      <c r="K61" s="76"/>
      <c r="L61" s="30"/>
      <c r="M61" s="26"/>
      <c r="N61" s="26"/>
      <c r="O61" s="26"/>
      <c r="P61" s="15"/>
      <c r="Q61" s="166"/>
    </row>
    <row r="62" spans="1:24" ht="36">
      <c r="A62" s="317" t="s">
        <v>220</v>
      </c>
      <c r="B62" s="294" t="b">
        <f t="shared" si="1"/>
        <v>0</v>
      </c>
      <c r="C62" s="219" t="b">
        <f>B62</f>
        <v>0</v>
      </c>
      <c r="D62" s="57"/>
      <c r="E62" s="85"/>
      <c r="F62" s="85"/>
      <c r="G62" s="85"/>
      <c r="H62" s="66">
        <f>IF(C62,1,0)</f>
        <v>0</v>
      </c>
      <c r="I62" s="85"/>
      <c r="J62" s="273" t="s">
        <v>240</v>
      </c>
      <c r="K62" s="76">
        <f t="shared" si="2"/>
        <v>0</v>
      </c>
      <c r="L62" s="15"/>
      <c r="M62" s="17"/>
      <c r="N62" s="17"/>
      <c r="O62" s="17">
        <v>1</v>
      </c>
      <c r="P62" s="17"/>
      <c r="Q62" s="166"/>
      <c r="X62" s="251"/>
    </row>
    <row r="63" spans="1:24" ht="15" customHeight="1">
      <c r="A63" s="317" t="s">
        <v>220</v>
      </c>
      <c r="B63" s="292" t="b">
        <f t="shared" si="1"/>
        <v>0</v>
      </c>
      <c r="C63" s="217" t="b">
        <f>B63</f>
        <v>0</v>
      </c>
      <c r="D63" s="100"/>
      <c r="E63" s="101"/>
      <c r="F63" s="101"/>
      <c r="G63" s="101"/>
      <c r="H63" s="79">
        <f>IF(C63,1,0)</f>
        <v>0</v>
      </c>
      <c r="I63" s="101"/>
      <c r="J63" s="139" t="s">
        <v>44</v>
      </c>
      <c r="K63" s="76">
        <f t="shared" si="2"/>
        <v>0</v>
      </c>
      <c r="L63" s="15"/>
      <c r="M63" s="17"/>
      <c r="N63" s="17"/>
      <c r="O63" s="17">
        <v>1</v>
      </c>
      <c r="P63" s="17"/>
      <c r="Q63" s="166"/>
      <c r="X63" s="251"/>
    </row>
    <row r="64" spans="1:24" s="73" customFormat="1" ht="15" customHeight="1">
      <c r="A64" s="317" t="s">
        <v>220</v>
      </c>
      <c r="B64" s="114" t="b">
        <f t="shared" si="1"/>
        <v>0</v>
      </c>
      <c r="C64" s="216" t="b">
        <f>B64</f>
        <v>0</v>
      </c>
      <c r="D64" s="74"/>
      <c r="E64" s="75"/>
      <c r="F64" s="75"/>
      <c r="G64" s="75">
        <f>IF(C64,1,0)</f>
        <v>0</v>
      </c>
      <c r="H64" s="75"/>
      <c r="I64" s="75"/>
      <c r="J64" s="267" t="s">
        <v>113</v>
      </c>
      <c r="K64" s="76">
        <f t="shared" si="2"/>
        <v>0</v>
      </c>
      <c r="L64" s="15"/>
      <c r="M64" s="17"/>
      <c r="N64" s="17">
        <v>1</v>
      </c>
      <c r="O64" s="17"/>
      <c r="P64" s="17"/>
      <c r="Q64" s="166"/>
      <c r="X64" s="243"/>
    </row>
    <row r="65" spans="1:24" s="73" customFormat="1" ht="11.25" customHeight="1">
      <c r="A65" s="226"/>
      <c r="B65" s="114"/>
      <c r="C65" s="194"/>
      <c r="D65" s="114"/>
      <c r="E65" s="23"/>
      <c r="F65" s="23"/>
      <c r="G65" s="23"/>
      <c r="H65" s="23"/>
      <c r="I65" s="23"/>
      <c r="J65" s="121" t="s">
        <v>21</v>
      </c>
      <c r="K65" s="108">
        <f>SUM(K54:K64)</f>
        <v>0</v>
      </c>
      <c r="L65" s="29"/>
      <c r="M65" s="22"/>
      <c r="N65" s="22"/>
      <c r="O65" s="22"/>
      <c r="P65" s="122"/>
      <c r="Q65" s="18"/>
      <c r="X65" s="243"/>
    </row>
    <row r="66" spans="1:24" s="123" customFormat="1" ht="12.75" customHeight="1">
      <c r="A66" s="225" t="s">
        <v>62</v>
      </c>
      <c r="B66" s="109"/>
      <c r="C66" s="220"/>
      <c r="D66" s="109"/>
      <c r="E66" s="110"/>
      <c r="F66" s="110"/>
      <c r="G66" s="110"/>
      <c r="H66" s="110"/>
      <c r="I66" s="110"/>
      <c r="J66" s="61"/>
      <c r="K66" s="76"/>
      <c r="L66" s="380" t="s">
        <v>39</v>
      </c>
      <c r="M66" s="381"/>
      <c r="N66" s="381"/>
      <c r="O66" s="381"/>
      <c r="P66" s="381"/>
      <c r="Q66" s="370"/>
      <c r="X66" s="243"/>
    </row>
    <row r="67" spans="1:24" s="123" customFormat="1" ht="26.25" customHeight="1">
      <c r="A67" s="322"/>
      <c r="B67" s="65" t="b">
        <f>IF(A67="Yes",TRUE,FALSE)</f>
        <v>0</v>
      </c>
      <c r="C67" s="194" t="b">
        <f>B67</f>
        <v>0</v>
      </c>
      <c r="D67" s="114"/>
      <c r="E67" s="23"/>
      <c r="F67" s="23"/>
      <c r="G67" s="23"/>
      <c r="H67" s="23"/>
      <c r="I67" s="23"/>
      <c r="J67" s="274" t="s">
        <v>244</v>
      </c>
      <c r="K67" s="76"/>
      <c r="L67" s="124"/>
      <c r="M67" s="124"/>
      <c r="N67" s="124"/>
      <c r="O67" s="124"/>
      <c r="P67" s="125"/>
      <c r="Q67" s="360"/>
      <c r="X67" s="243"/>
    </row>
    <row r="68" spans="1:24" s="73" customFormat="1" ht="12.75" customHeight="1">
      <c r="A68" s="323"/>
      <c r="B68" s="74"/>
      <c r="C68" s="216"/>
      <c r="D68" s="74"/>
      <c r="E68" s="75"/>
      <c r="F68" s="75"/>
      <c r="G68" s="75"/>
      <c r="H68" s="75"/>
      <c r="I68" s="126"/>
      <c r="J68" s="267" t="s">
        <v>83</v>
      </c>
      <c r="K68" s="76"/>
      <c r="L68" s="127"/>
      <c r="M68" s="127"/>
      <c r="N68" s="127"/>
      <c r="O68" s="127"/>
      <c r="P68" s="128"/>
      <c r="Q68" s="361"/>
      <c r="X68" s="243"/>
    </row>
    <row r="69" spans="1:24" s="73" customFormat="1" ht="12.75">
      <c r="A69" s="317" t="s">
        <v>220</v>
      </c>
      <c r="B69" s="65" t="b">
        <f>IF(A69="Yes",TRUE,FALSE)</f>
        <v>0</v>
      </c>
      <c r="C69" s="219" t="b">
        <f>B69</f>
        <v>0</v>
      </c>
      <c r="D69" s="65"/>
      <c r="E69" s="66"/>
      <c r="F69" s="66"/>
      <c r="G69" s="66"/>
      <c r="H69" s="66"/>
      <c r="I69" s="66">
        <f>IF(C69,1,0)</f>
        <v>0</v>
      </c>
      <c r="J69" s="262" t="s">
        <v>95</v>
      </c>
      <c r="K69" s="76">
        <f>SUM(D69:I69)</f>
        <v>0</v>
      </c>
      <c r="L69" s="15"/>
      <c r="M69" s="17"/>
      <c r="N69" s="17"/>
      <c r="O69" s="17"/>
      <c r="P69" s="17">
        <v>1</v>
      </c>
      <c r="Q69" s="166"/>
      <c r="X69" s="252"/>
    </row>
    <row r="70" spans="1:24" s="73" customFormat="1" ht="12.75">
      <c r="A70" s="317" t="s">
        <v>220</v>
      </c>
      <c r="B70" s="65" t="b">
        <f aca="true" t="shared" si="3" ref="B70:B82">IF(A70="Yes",TRUE,FALSE)</f>
        <v>0</v>
      </c>
      <c r="C70" s="219" t="b">
        <f>B70</f>
        <v>0</v>
      </c>
      <c r="D70" s="65"/>
      <c r="E70" s="66"/>
      <c r="F70" s="66"/>
      <c r="G70" s="66"/>
      <c r="H70" s="66">
        <f>IF(C70,1,0)</f>
        <v>0</v>
      </c>
      <c r="I70" s="66">
        <f>IF(AND(B67,C71,SUM(I69,H70)=2),1,0)</f>
        <v>0</v>
      </c>
      <c r="J70" s="262" t="s">
        <v>17</v>
      </c>
      <c r="K70" s="76">
        <f>H70</f>
        <v>0</v>
      </c>
      <c r="L70" s="15"/>
      <c r="M70" s="17"/>
      <c r="N70" s="17"/>
      <c r="O70" s="17">
        <v>1</v>
      </c>
      <c r="P70" s="17"/>
      <c r="Q70" s="166"/>
      <c r="X70" s="252"/>
    </row>
    <row r="71" spans="1:24" s="73" customFormat="1" ht="14.25" customHeight="1">
      <c r="A71" s="317" t="s">
        <v>220</v>
      </c>
      <c r="B71" s="78" t="b">
        <f t="shared" si="3"/>
        <v>0</v>
      </c>
      <c r="C71" s="217" t="b">
        <f>B71</f>
        <v>0</v>
      </c>
      <c r="D71" s="78"/>
      <c r="E71" s="79"/>
      <c r="F71" s="79"/>
      <c r="G71" s="79"/>
      <c r="H71" s="79"/>
      <c r="I71" s="79">
        <f>IF(AND(B67=FALSE,C71),3,0)</f>
        <v>0</v>
      </c>
      <c r="J71" s="271" t="s">
        <v>141</v>
      </c>
      <c r="K71" s="76">
        <f>MAX(I70:I73)</f>
        <v>0</v>
      </c>
      <c r="L71" s="15"/>
      <c r="M71" s="17"/>
      <c r="N71" s="17"/>
      <c r="O71" s="17"/>
      <c r="P71" s="17">
        <v>3</v>
      </c>
      <c r="Q71" s="166"/>
      <c r="X71" s="243"/>
    </row>
    <row r="72" spans="1:24" s="73" customFormat="1" ht="12.75">
      <c r="A72" s="317" t="s">
        <v>220</v>
      </c>
      <c r="B72" s="114" t="b">
        <f t="shared" si="3"/>
        <v>0</v>
      </c>
      <c r="C72" s="194" t="b">
        <f>B72</f>
        <v>0</v>
      </c>
      <c r="D72" s="23"/>
      <c r="E72" s="23">
        <f>IF(C72,1,0)</f>
        <v>0</v>
      </c>
      <c r="F72" s="23"/>
      <c r="G72" s="23"/>
      <c r="H72" s="23"/>
      <c r="I72" s="23">
        <f>IF(AND(B67,C71,SUM(I69,H70)=1),2,0)</f>
        <v>0</v>
      </c>
      <c r="J72" s="270" t="s">
        <v>96</v>
      </c>
      <c r="K72" s="76">
        <f>IF(B67,MIN(E72,3-SUM(K69:K71)),E72)</f>
        <v>0</v>
      </c>
      <c r="L72" s="15">
        <v>1</v>
      </c>
      <c r="M72" s="17"/>
      <c r="N72" s="17"/>
      <c r="O72" s="17"/>
      <c r="P72" s="17"/>
      <c r="Q72" s="166"/>
      <c r="X72" s="243"/>
    </row>
    <row r="73" spans="1:24" s="73" customFormat="1" ht="12.75">
      <c r="A73" s="323"/>
      <c r="B73" s="74"/>
      <c r="C73" s="216"/>
      <c r="D73" s="74"/>
      <c r="E73" s="75"/>
      <c r="F73" s="75"/>
      <c r="G73" s="75"/>
      <c r="H73" s="75"/>
      <c r="I73" s="75">
        <f>IF(AND(B67,C71,SUM(I69,H70)=0),3,0)</f>
        <v>0</v>
      </c>
      <c r="J73" s="267" t="s">
        <v>72</v>
      </c>
      <c r="K73" s="76"/>
      <c r="L73" s="129"/>
      <c r="M73" s="26"/>
      <c r="N73" s="130"/>
      <c r="O73" s="26"/>
      <c r="P73" s="15"/>
      <c r="Q73" s="166"/>
      <c r="X73" s="243"/>
    </row>
    <row r="74" spans="1:24" s="73" customFormat="1" ht="13.5" customHeight="1">
      <c r="A74" s="317" t="s">
        <v>220</v>
      </c>
      <c r="B74" s="65" t="b">
        <f t="shared" si="3"/>
        <v>0</v>
      </c>
      <c r="C74" s="219" t="b">
        <f>B74</f>
        <v>0</v>
      </c>
      <c r="D74" s="66"/>
      <c r="E74" s="66"/>
      <c r="F74" s="66"/>
      <c r="G74" s="66"/>
      <c r="H74" s="66"/>
      <c r="I74" s="73">
        <f>IF(C74,2,0)</f>
        <v>0</v>
      </c>
      <c r="J74" s="262" t="s">
        <v>101</v>
      </c>
      <c r="K74" s="76">
        <f>IF($B$67,MIN($I$74,3-SUM($K$69:$K$72)),$I$74)</f>
        <v>0</v>
      </c>
      <c r="L74" s="15"/>
      <c r="M74" s="17"/>
      <c r="N74" s="17"/>
      <c r="O74" s="17"/>
      <c r="P74" s="17">
        <v>2</v>
      </c>
      <c r="Q74" s="166"/>
      <c r="X74" s="243"/>
    </row>
    <row r="75" spans="1:24" s="73" customFormat="1" ht="12.75">
      <c r="A75" s="317" t="s">
        <v>220</v>
      </c>
      <c r="B75" s="65" t="b">
        <f t="shared" si="3"/>
        <v>0</v>
      </c>
      <c r="C75" s="219" t="b">
        <f>B75</f>
        <v>0</v>
      </c>
      <c r="D75" s="66"/>
      <c r="E75" s="66"/>
      <c r="F75" s="66"/>
      <c r="G75" s="66"/>
      <c r="H75" s="66"/>
      <c r="I75" s="73">
        <f>IF(OR(C76,C75),2,0)</f>
        <v>0</v>
      </c>
      <c r="J75" s="262" t="s">
        <v>154</v>
      </c>
      <c r="K75" s="76">
        <f>IF($B$67,MIN($I$75,3-SUM($K$69:$K$74)),$I$75)</f>
        <v>0</v>
      </c>
      <c r="L75" s="15"/>
      <c r="M75" s="17"/>
      <c r="N75" s="17"/>
      <c r="O75" s="17"/>
      <c r="P75" s="17">
        <v>2</v>
      </c>
      <c r="Q75" s="166"/>
      <c r="X75" s="243"/>
    </row>
    <row r="76" spans="1:24" s="73" customFormat="1" ht="12.75">
      <c r="A76" s="317" t="s">
        <v>220</v>
      </c>
      <c r="B76" s="65" t="b">
        <f t="shared" si="3"/>
        <v>0</v>
      </c>
      <c r="C76" s="219" t="b">
        <f>B76</f>
        <v>0</v>
      </c>
      <c r="D76" s="66"/>
      <c r="E76" s="66"/>
      <c r="F76" s="66"/>
      <c r="G76" s="66"/>
      <c r="H76" s="66"/>
      <c r="I76" s="73">
        <f>IF(C76,2,0)</f>
        <v>0</v>
      </c>
      <c r="J76" s="262" t="s">
        <v>119</v>
      </c>
      <c r="K76" s="76">
        <f>IF($B$67,MIN($I$76,3-SUM($K$69:$K$75)),$I$76)</f>
        <v>0</v>
      </c>
      <c r="L76" s="15"/>
      <c r="M76" s="17"/>
      <c r="N76" s="17"/>
      <c r="O76" s="17"/>
      <c r="P76" s="17">
        <v>2</v>
      </c>
      <c r="Q76" s="166"/>
      <c r="X76" s="243"/>
    </row>
    <row r="77" spans="1:24" s="73" customFormat="1" ht="12.75">
      <c r="A77" s="317" t="s">
        <v>220</v>
      </c>
      <c r="B77" s="114" t="b">
        <f t="shared" si="3"/>
        <v>0</v>
      </c>
      <c r="C77" s="194" t="b">
        <f>B77</f>
        <v>0</v>
      </c>
      <c r="D77" s="114"/>
      <c r="E77" s="23">
        <f>IF(C77,1,0)</f>
        <v>0</v>
      </c>
      <c r="F77" s="23">
        <f>IF(C77,1,0)</f>
        <v>0</v>
      </c>
      <c r="G77" s="23"/>
      <c r="H77" s="23"/>
      <c r="I77" s="23">
        <f>IF(C77,1,0)</f>
        <v>0</v>
      </c>
      <c r="J77" s="270" t="s">
        <v>132</v>
      </c>
      <c r="K77" s="76">
        <f>IF($B$67,MIN(SUM(E77:I77),3-SUM($K$69:$K$76)),SUM(E77:I77))</f>
        <v>0</v>
      </c>
      <c r="L77" s="131">
        <v>1</v>
      </c>
      <c r="M77" s="24">
        <v>1</v>
      </c>
      <c r="N77" s="24"/>
      <c r="O77" s="24"/>
      <c r="P77" s="24">
        <v>1</v>
      </c>
      <c r="Q77" s="362"/>
      <c r="X77" s="243"/>
    </row>
    <row r="78" spans="1:24" s="73" customFormat="1" ht="12.75">
      <c r="A78" s="317" t="s">
        <v>220</v>
      </c>
      <c r="B78" s="114" t="b">
        <f t="shared" si="3"/>
        <v>0</v>
      </c>
      <c r="C78" s="194" t="b">
        <f>B78</f>
        <v>0</v>
      </c>
      <c r="D78" s="114"/>
      <c r="E78" s="23"/>
      <c r="F78" s="23"/>
      <c r="G78" s="23"/>
      <c r="H78" s="23"/>
      <c r="I78" s="23">
        <f>IF(C78,2,0)</f>
        <v>0</v>
      </c>
      <c r="J78" s="270" t="s">
        <v>100</v>
      </c>
      <c r="K78" s="76">
        <f>IF($B$67,MIN($I$78,3-SUM($K$69:$K$77)),$I$78)</f>
        <v>0</v>
      </c>
      <c r="L78" s="15"/>
      <c r="M78" s="17"/>
      <c r="N78" s="17"/>
      <c r="O78" s="17"/>
      <c r="P78" s="17">
        <v>2</v>
      </c>
      <c r="Q78" s="166"/>
      <c r="X78" s="243"/>
    </row>
    <row r="79" spans="1:24" s="73" customFormat="1" ht="12.75">
      <c r="A79" s="323"/>
      <c r="B79" s="74"/>
      <c r="C79" s="219"/>
      <c r="D79" s="74"/>
      <c r="E79" s="75"/>
      <c r="F79" s="75"/>
      <c r="G79" s="75"/>
      <c r="H79" s="75"/>
      <c r="I79" s="75"/>
      <c r="J79" s="267" t="s">
        <v>73</v>
      </c>
      <c r="K79" s="76"/>
      <c r="L79" s="30"/>
      <c r="M79" s="26"/>
      <c r="N79" s="26"/>
      <c r="O79" s="26"/>
      <c r="P79" s="15"/>
      <c r="Q79" s="166"/>
      <c r="X79" s="243"/>
    </row>
    <row r="80" spans="1:24" s="73" customFormat="1" ht="12.75">
      <c r="A80" s="317" t="s">
        <v>220</v>
      </c>
      <c r="B80" s="65" t="b">
        <f t="shared" si="3"/>
        <v>0</v>
      </c>
      <c r="C80" s="219" t="b">
        <f>B80</f>
        <v>0</v>
      </c>
      <c r="D80" s="65"/>
      <c r="E80" s="66"/>
      <c r="F80" s="66"/>
      <c r="G80" s="66"/>
      <c r="H80" s="66"/>
      <c r="I80" s="66">
        <f>IF(C80,2,0)</f>
        <v>0</v>
      </c>
      <c r="J80" s="262" t="s">
        <v>40</v>
      </c>
      <c r="K80" s="76">
        <f>IF($B$67,MIN($I$80,3-SUM($K$69:$K$78)),$I$80)</f>
        <v>0</v>
      </c>
      <c r="L80" s="15"/>
      <c r="M80" s="17"/>
      <c r="N80" s="17"/>
      <c r="O80" s="17"/>
      <c r="P80" s="17">
        <v>2</v>
      </c>
      <c r="Q80" s="166"/>
      <c r="X80" s="243"/>
    </row>
    <row r="81" spans="1:24" s="73" customFormat="1" ht="12.75">
      <c r="A81" s="317" t="s">
        <v>220</v>
      </c>
      <c r="B81" s="78" t="b">
        <f t="shared" si="3"/>
        <v>0</v>
      </c>
      <c r="C81" s="217" t="b">
        <f>B81</f>
        <v>0</v>
      </c>
      <c r="D81" s="78"/>
      <c r="E81" s="79"/>
      <c r="F81" s="79"/>
      <c r="G81" s="79"/>
      <c r="H81" s="79"/>
      <c r="I81" s="79">
        <f>IF(C81,3,0)</f>
        <v>0</v>
      </c>
      <c r="J81" s="271" t="s">
        <v>64</v>
      </c>
      <c r="K81" s="76">
        <f>IF($B$67,MIN($I$81,3-SUM($K$69:$K$80)),$I$81)</f>
        <v>0</v>
      </c>
      <c r="L81" s="15"/>
      <c r="M81" s="17"/>
      <c r="N81" s="17"/>
      <c r="O81" s="17"/>
      <c r="P81" s="17">
        <v>3</v>
      </c>
      <c r="Q81" s="166"/>
      <c r="X81" s="243"/>
    </row>
    <row r="82" spans="1:24" s="73" customFormat="1" ht="12.75">
      <c r="A82" s="317" t="s">
        <v>220</v>
      </c>
      <c r="B82" s="114" t="b">
        <f t="shared" si="3"/>
        <v>0</v>
      </c>
      <c r="C82" s="194" t="b">
        <f>B82</f>
        <v>0</v>
      </c>
      <c r="D82" s="114"/>
      <c r="E82" s="23"/>
      <c r="F82" s="23"/>
      <c r="G82" s="23"/>
      <c r="H82" s="23"/>
      <c r="I82" s="23">
        <f>IF(C82,1,0)</f>
        <v>0</v>
      </c>
      <c r="J82" s="270" t="s">
        <v>114</v>
      </c>
      <c r="K82" s="76">
        <f>IF($B$67,MIN($I$82,3-SUM($K$69:$K$81)),$I$82)</f>
        <v>0</v>
      </c>
      <c r="L82" s="15"/>
      <c r="M82" s="17"/>
      <c r="N82" s="17"/>
      <c r="O82" s="17"/>
      <c r="P82" s="17">
        <v>1</v>
      </c>
      <c r="Q82" s="166"/>
      <c r="X82" s="243"/>
    </row>
    <row r="83" spans="1:24" s="73" customFormat="1" ht="24.75" customHeight="1">
      <c r="A83" s="320"/>
      <c r="B83" s="114">
        <f>IF(A83&gt;0,(LOOKUP(A83,$V$9:$V$13,$U$9:$U$13)),0)</f>
        <v>0</v>
      </c>
      <c r="C83" s="194">
        <f>IF(B83=5,1,A83)</f>
        <v>0</v>
      </c>
      <c r="D83" s="114"/>
      <c r="E83" s="23"/>
      <c r="F83" s="23"/>
      <c r="G83" s="23"/>
      <c r="H83" s="23"/>
      <c r="I83" s="23">
        <f>C83*2</f>
        <v>0</v>
      </c>
      <c r="J83" s="275" t="s">
        <v>133</v>
      </c>
      <c r="K83" s="76">
        <f>IF($B$67,MIN($I$83,3-SUM($K$69:$K$82)),$I$83)</f>
        <v>0</v>
      </c>
      <c r="L83" s="15"/>
      <c r="M83" s="17"/>
      <c r="N83" s="17"/>
      <c r="O83" s="17"/>
      <c r="P83" s="17">
        <v>2</v>
      </c>
      <c r="Q83" s="166"/>
      <c r="X83" s="243"/>
    </row>
    <row r="84" spans="1:24" s="73" customFormat="1" ht="26.25" customHeight="1">
      <c r="A84" s="320"/>
      <c r="B84" s="114">
        <f>IF(A84&gt;0,(LOOKUP(A84,$V$9:$V$13,$U$9:$U$13)),0)</f>
        <v>0</v>
      </c>
      <c r="C84" s="194">
        <f>IF(B84=5,1,A84)</f>
        <v>0</v>
      </c>
      <c r="D84" s="114"/>
      <c r="E84" s="23"/>
      <c r="F84" s="23"/>
      <c r="G84" s="23"/>
      <c r="H84" s="23">
        <f>C84</f>
        <v>0</v>
      </c>
      <c r="I84" s="23"/>
      <c r="J84" s="275" t="s">
        <v>267</v>
      </c>
      <c r="K84" s="76">
        <f>IF($B$67,MIN($H$84,3-SUM($K$69:$K$83)),$H$84)</f>
        <v>0</v>
      </c>
      <c r="L84" s="15"/>
      <c r="M84" s="17"/>
      <c r="N84" s="17"/>
      <c r="O84" s="17">
        <v>1</v>
      </c>
      <c r="P84" s="17"/>
      <c r="Q84" s="166"/>
      <c r="X84" s="243"/>
    </row>
    <row r="85" spans="1:24" s="73" customFormat="1" ht="14.25" customHeight="1">
      <c r="A85" s="317" t="s">
        <v>220</v>
      </c>
      <c r="B85" s="114" t="b">
        <f>IF(A85="Yes",TRUE,FALSE)</f>
        <v>0</v>
      </c>
      <c r="C85" s="194" t="b">
        <f>B85</f>
        <v>0</v>
      </c>
      <c r="D85" s="114"/>
      <c r="E85" s="23">
        <f>IF(C85,1,0)</f>
        <v>0</v>
      </c>
      <c r="F85" s="23"/>
      <c r="G85" s="23"/>
      <c r="H85" s="23"/>
      <c r="I85" s="23"/>
      <c r="J85" s="270" t="s">
        <v>115</v>
      </c>
      <c r="K85" s="76">
        <f>IF($B$67,MIN($E$85,3-SUM($K$69:$K$84)),$E$85)</f>
        <v>0</v>
      </c>
      <c r="L85" s="15">
        <v>1</v>
      </c>
      <c r="M85" s="17"/>
      <c r="N85" s="17"/>
      <c r="O85" s="17"/>
      <c r="P85" s="17"/>
      <c r="Q85" s="166"/>
      <c r="X85" s="243"/>
    </row>
    <row r="86" spans="1:24" s="73" customFormat="1" ht="12" customHeight="1">
      <c r="A86" s="323"/>
      <c r="B86" s="74"/>
      <c r="C86" s="216"/>
      <c r="D86" s="74"/>
      <c r="E86" s="75"/>
      <c r="F86" s="75"/>
      <c r="G86" s="75"/>
      <c r="H86" s="75"/>
      <c r="I86" s="75"/>
      <c r="J86" s="350" t="s">
        <v>333</v>
      </c>
      <c r="K86" s="76"/>
      <c r="L86" s="30"/>
      <c r="M86" s="26"/>
      <c r="N86" s="26"/>
      <c r="O86" s="26"/>
      <c r="P86" s="15"/>
      <c r="Q86" s="166"/>
      <c r="X86" s="243"/>
    </row>
    <row r="87" spans="1:24" s="73" customFormat="1" ht="12.75">
      <c r="A87" s="317"/>
      <c r="B87" s="294" t="b">
        <f>IF(A87="Yes",TRUE,FALSE)</f>
        <v>0</v>
      </c>
      <c r="C87" s="219" t="b">
        <f>B87</f>
        <v>0</v>
      </c>
      <c r="D87" s="65"/>
      <c r="E87" s="66"/>
      <c r="F87" s="66"/>
      <c r="G87" s="66"/>
      <c r="H87" s="66"/>
      <c r="I87" s="66">
        <f>IF(OR(C87,C88),1,0)</f>
        <v>0</v>
      </c>
      <c r="J87" s="262" t="s">
        <v>334</v>
      </c>
      <c r="K87" s="76">
        <f>IF($B$67,MIN($I$87,3-SUM($K$69:$K$85)),$I$87)</f>
        <v>0</v>
      </c>
      <c r="L87" s="15"/>
      <c r="M87" s="17"/>
      <c r="N87" s="17"/>
      <c r="O87" s="17"/>
      <c r="P87" s="17">
        <v>1</v>
      </c>
      <c r="Q87" s="166"/>
      <c r="X87" s="243"/>
    </row>
    <row r="88" spans="1:24" s="73" customFormat="1" ht="12.75">
      <c r="A88" s="317" t="s">
        <v>220</v>
      </c>
      <c r="B88" s="292" t="b">
        <f>IF(A88="Yes",TRUE,FALSE)</f>
        <v>0</v>
      </c>
      <c r="C88" s="217" t="b">
        <f>B88</f>
        <v>0</v>
      </c>
      <c r="D88" s="78"/>
      <c r="E88" s="79"/>
      <c r="F88" s="79"/>
      <c r="G88" s="79"/>
      <c r="H88" s="79"/>
      <c r="I88" s="79">
        <f>IF(C88,1,0)</f>
        <v>0</v>
      </c>
      <c r="J88" s="271" t="s">
        <v>188</v>
      </c>
      <c r="K88" s="76">
        <f>IF($B$67,MIN($I$88,3-SUM($K$69:$K$87)),$I$88)</f>
        <v>0</v>
      </c>
      <c r="L88" s="15"/>
      <c r="M88" s="17"/>
      <c r="N88" s="17"/>
      <c r="O88" s="17"/>
      <c r="P88" s="17">
        <v>1</v>
      </c>
      <c r="Q88" s="166"/>
      <c r="X88" s="243"/>
    </row>
    <row r="89" spans="1:24" s="73" customFormat="1" ht="15" customHeight="1">
      <c r="A89" s="317" t="s">
        <v>220</v>
      </c>
      <c r="B89" s="114" t="b">
        <f>IF(A89="Yes",TRUE,FALSE)</f>
        <v>0</v>
      </c>
      <c r="C89" s="194" t="b">
        <f>B89</f>
        <v>0</v>
      </c>
      <c r="D89" s="114"/>
      <c r="F89" s="23"/>
      <c r="H89" s="23">
        <f>IF(C89,1,0)</f>
        <v>0</v>
      </c>
      <c r="I89" s="23">
        <f>IF(C89,1,0)</f>
        <v>0</v>
      </c>
      <c r="J89" s="269" t="s">
        <v>189</v>
      </c>
      <c r="K89" s="76">
        <f>IF($B$67,MIN(SUM(F89:I89),3-SUM($K$69:$K$88)),SUM(F89:I89))</f>
        <v>0</v>
      </c>
      <c r="L89" s="15"/>
      <c r="M89" s="17"/>
      <c r="N89" s="17"/>
      <c r="O89" s="17">
        <v>1</v>
      </c>
      <c r="P89" s="17">
        <v>1</v>
      </c>
      <c r="Q89" s="166"/>
      <c r="X89" s="243"/>
    </row>
    <row r="90" spans="1:24" s="73" customFormat="1" ht="12.75">
      <c r="A90" s="228"/>
      <c r="B90" s="65"/>
      <c r="C90" s="219"/>
      <c r="D90" s="65"/>
      <c r="E90" s="66"/>
      <c r="F90" s="66"/>
      <c r="G90" s="66"/>
      <c r="H90" s="66"/>
      <c r="I90" s="66"/>
      <c r="J90" s="132" t="s">
        <v>159</v>
      </c>
      <c r="K90" s="108">
        <f>SUM(K67:K89)</f>
        <v>0</v>
      </c>
      <c r="L90" s="133"/>
      <c r="M90" s="133"/>
      <c r="N90" s="133"/>
      <c r="O90" s="133"/>
      <c r="P90" s="134"/>
      <c r="Q90" s="133"/>
      <c r="X90" s="243"/>
    </row>
    <row r="91" spans="1:24" s="123" customFormat="1" ht="12.75" customHeight="1">
      <c r="A91" s="225" t="s">
        <v>41</v>
      </c>
      <c r="B91" s="109"/>
      <c r="C91" s="220">
        <f>B91</f>
        <v>0</v>
      </c>
      <c r="D91" s="109"/>
      <c r="E91" s="110"/>
      <c r="F91" s="110"/>
      <c r="G91" s="110"/>
      <c r="H91" s="110"/>
      <c r="I91" s="110"/>
      <c r="J91" s="109"/>
      <c r="K91" s="76"/>
      <c r="L91" s="383" t="s">
        <v>39</v>
      </c>
      <c r="M91" s="383"/>
      <c r="N91" s="383"/>
      <c r="O91" s="383"/>
      <c r="P91" s="379"/>
      <c r="Q91" s="370"/>
      <c r="X91" s="243"/>
    </row>
    <row r="92" spans="1:17" ht="12.75">
      <c r="A92" s="229"/>
      <c r="B92" s="57"/>
      <c r="C92" s="218"/>
      <c r="D92" s="57"/>
      <c r="E92" s="85"/>
      <c r="F92" s="85"/>
      <c r="G92" s="85"/>
      <c r="H92" s="85"/>
      <c r="I92" s="85"/>
      <c r="J92" s="276" t="s">
        <v>37</v>
      </c>
      <c r="K92" s="330"/>
      <c r="L92" s="135"/>
      <c r="M92" s="135"/>
      <c r="N92" s="135"/>
      <c r="O92" s="135"/>
      <c r="P92" s="136"/>
      <c r="Q92" s="371"/>
    </row>
    <row r="93" spans="1:17" ht="13.5" customHeight="1">
      <c r="A93" s="320"/>
      <c r="B93" s="65">
        <f aca="true" t="shared" si="4" ref="B93:B117">IF(A93&gt;0,(LOOKUP(A93,$V$9:$V$13,$U$9:$U$13)),0)</f>
        <v>0</v>
      </c>
      <c r="C93" s="219">
        <f aca="true" t="shared" si="5" ref="C93:C117">IF(B93=5,1,A93)</f>
        <v>0</v>
      </c>
      <c r="D93" s="57"/>
      <c r="E93" s="85"/>
      <c r="F93" s="85"/>
      <c r="G93" s="85"/>
      <c r="H93" s="66">
        <f>C93</f>
        <v>0</v>
      </c>
      <c r="I93" s="85"/>
      <c r="J93" s="277" t="s">
        <v>54</v>
      </c>
      <c r="K93" s="76">
        <f aca="true" t="shared" si="6" ref="K93:K117">SUM(D93:I93)</f>
        <v>0</v>
      </c>
      <c r="L93" s="15"/>
      <c r="M93" s="17"/>
      <c r="N93" s="17"/>
      <c r="O93" s="17">
        <v>1</v>
      </c>
      <c r="P93" s="17"/>
      <c r="Q93" s="166"/>
    </row>
    <row r="94" spans="1:24" s="73" customFormat="1" ht="13.5" customHeight="1">
      <c r="A94" s="320"/>
      <c r="B94" s="65">
        <f t="shared" si="4"/>
        <v>0</v>
      </c>
      <c r="C94" s="219">
        <f t="shared" si="5"/>
        <v>0</v>
      </c>
      <c r="D94" s="65"/>
      <c r="E94" s="66"/>
      <c r="F94" s="66"/>
      <c r="G94" s="66"/>
      <c r="H94" s="66">
        <f>C94</f>
        <v>0</v>
      </c>
      <c r="I94" s="66"/>
      <c r="J94" s="262" t="s">
        <v>55</v>
      </c>
      <c r="K94" s="76">
        <f t="shared" si="6"/>
        <v>0</v>
      </c>
      <c r="L94" s="15"/>
      <c r="M94" s="17"/>
      <c r="N94" s="17"/>
      <c r="O94" s="17">
        <v>1</v>
      </c>
      <c r="P94" s="17"/>
      <c r="Q94" s="166"/>
      <c r="X94" s="243"/>
    </row>
    <row r="95" spans="1:24" s="73" customFormat="1" ht="12.75">
      <c r="A95" s="320"/>
      <c r="B95" s="78">
        <f t="shared" si="4"/>
        <v>0</v>
      </c>
      <c r="C95" s="217">
        <f t="shared" si="5"/>
        <v>0</v>
      </c>
      <c r="D95" s="78"/>
      <c r="E95" s="79"/>
      <c r="F95" s="79"/>
      <c r="G95" s="79"/>
      <c r="H95" s="66">
        <f>C95</f>
        <v>0</v>
      </c>
      <c r="I95" s="79"/>
      <c r="J95" s="271" t="s">
        <v>56</v>
      </c>
      <c r="K95" s="76">
        <f t="shared" si="6"/>
        <v>0</v>
      </c>
      <c r="L95" s="15"/>
      <c r="M95" s="17"/>
      <c r="N95" s="17"/>
      <c r="O95" s="17">
        <v>1</v>
      </c>
      <c r="P95" s="17"/>
      <c r="Q95" s="166"/>
      <c r="X95" s="243"/>
    </row>
    <row r="96" spans="1:24" s="73" customFormat="1" ht="12.75">
      <c r="A96" s="324"/>
      <c r="B96" s="74"/>
      <c r="C96" s="216"/>
      <c r="D96" s="74"/>
      <c r="E96" s="75"/>
      <c r="F96" s="75"/>
      <c r="G96" s="75"/>
      <c r="H96" s="75"/>
      <c r="I96" s="75"/>
      <c r="J96" s="267" t="s">
        <v>42</v>
      </c>
      <c r="K96" s="76"/>
      <c r="L96" s="30"/>
      <c r="M96" s="26"/>
      <c r="N96" s="26"/>
      <c r="O96" s="26"/>
      <c r="P96" s="15"/>
      <c r="Q96" s="166"/>
      <c r="X96" s="243"/>
    </row>
    <row r="97" spans="1:24" s="73" customFormat="1" ht="12.75">
      <c r="A97" s="320"/>
      <c r="B97" s="65">
        <f t="shared" si="4"/>
        <v>0</v>
      </c>
      <c r="C97" s="219">
        <f t="shared" si="5"/>
        <v>0</v>
      </c>
      <c r="D97" s="65"/>
      <c r="E97" s="66"/>
      <c r="F97" s="66"/>
      <c r="G97" s="66"/>
      <c r="H97" s="66">
        <f>C97</f>
        <v>0</v>
      </c>
      <c r="I97" s="66"/>
      <c r="J97" s="262" t="s">
        <v>190</v>
      </c>
      <c r="K97" s="76">
        <f t="shared" si="6"/>
        <v>0</v>
      </c>
      <c r="L97" s="15"/>
      <c r="M97" s="17"/>
      <c r="N97" s="17"/>
      <c r="O97" s="17">
        <v>1</v>
      </c>
      <c r="P97" s="17"/>
      <c r="Q97" s="166"/>
      <c r="X97" s="245"/>
    </row>
    <row r="98" spans="1:24" s="73" customFormat="1" ht="12.75" customHeight="1">
      <c r="A98" s="320"/>
      <c r="B98" s="65">
        <f t="shared" si="4"/>
        <v>0</v>
      </c>
      <c r="C98" s="219">
        <f t="shared" si="5"/>
        <v>0</v>
      </c>
      <c r="D98" s="65"/>
      <c r="E98" s="66"/>
      <c r="F98" s="66">
        <f>C98</f>
        <v>0</v>
      </c>
      <c r="G98" s="66"/>
      <c r="H98" s="66"/>
      <c r="I98" s="66"/>
      <c r="J98" s="262" t="s">
        <v>265</v>
      </c>
      <c r="K98" s="76">
        <f t="shared" si="6"/>
        <v>0</v>
      </c>
      <c r="L98" s="15"/>
      <c r="M98" s="17">
        <v>1</v>
      </c>
      <c r="N98" s="17"/>
      <c r="O98" s="17"/>
      <c r="P98" s="17"/>
      <c r="Q98" s="166"/>
      <c r="X98" s="243"/>
    </row>
    <row r="99" spans="1:24" s="73" customFormat="1" ht="12.75">
      <c r="A99" s="320"/>
      <c r="B99" s="65">
        <f t="shared" si="4"/>
        <v>0</v>
      </c>
      <c r="C99" s="219">
        <f t="shared" si="5"/>
        <v>0</v>
      </c>
      <c r="D99" s="65"/>
      <c r="E99" s="66"/>
      <c r="F99" s="66"/>
      <c r="G99" s="66"/>
      <c r="H99" s="66">
        <f>C99</f>
        <v>0</v>
      </c>
      <c r="I99" s="66"/>
      <c r="J99" s="262" t="s">
        <v>43</v>
      </c>
      <c r="K99" s="76">
        <f t="shared" si="6"/>
        <v>0</v>
      </c>
      <c r="L99" s="15"/>
      <c r="M99" s="17"/>
      <c r="N99" s="17"/>
      <c r="O99" s="17">
        <v>1</v>
      </c>
      <c r="P99" s="17"/>
      <c r="Q99" s="166"/>
      <c r="X99" s="243"/>
    </row>
    <row r="100" spans="1:24" s="73" customFormat="1" ht="12.75">
      <c r="A100" s="320"/>
      <c r="B100" s="65">
        <f t="shared" si="4"/>
        <v>0</v>
      </c>
      <c r="C100" s="219">
        <f t="shared" si="5"/>
        <v>0</v>
      </c>
      <c r="D100" s="65"/>
      <c r="E100" s="66"/>
      <c r="F100" s="66"/>
      <c r="G100" s="66"/>
      <c r="H100" s="66">
        <f>C100</f>
        <v>0</v>
      </c>
      <c r="I100" s="66"/>
      <c r="J100" s="266" t="s">
        <v>177</v>
      </c>
      <c r="K100" s="76">
        <f t="shared" si="6"/>
        <v>0</v>
      </c>
      <c r="L100" s="15"/>
      <c r="M100" s="17"/>
      <c r="N100" s="17"/>
      <c r="O100" s="17">
        <v>1</v>
      </c>
      <c r="P100" s="17"/>
      <c r="Q100" s="166"/>
      <c r="X100" s="243"/>
    </row>
    <row r="101" spans="1:24" s="73" customFormat="1" ht="12.75">
      <c r="A101" s="320"/>
      <c r="B101" s="65">
        <f t="shared" si="4"/>
        <v>0</v>
      </c>
      <c r="C101" s="219">
        <f t="shared" si="5"/>
        <v>0</v>
      </c>
      <c r="D101" s="65"/>
      <c r="E101" s="66"/>
      <c r="F101" s="66"/>
      <c r="G101" s="66"/>
      <c r="H101" s="66">
        <f>C101</f>
        <v>0</v>
      </c>
      <c r="I101" s="66"/>
      <c r="J101" s="262" t="s">
        <v>58</v>
      </c>
      <c r="K101" s="76">
        <f t="shared" si="6"/>
        <v>0</v>
      </c>
      <c r="L101" s="15"/>
      <c r="M101" s="17"/>
      <c r="N101" s="17"/>
      <c r="O101" s="17">
        <v>1</v>
      </c>
      <c r="P101" s="17"/>
      <c r="Q101" s="166"/>
      <c r="X101" s="243"/>
    </row>
    <row r="102" spans="1:24" s="73" customFormat="1" ht="12.75">
      <c r="A102" s="320"/>
      <c r="B102" s="65">
        <f t="shared" si="4"/>
        <v>0</v>
      </c>
      <c r="C102" s="219">
        <f t="shared" si="5"/>
        <v>0</v>
      </c>
      <c r="D102" s="65"/>
      <c r="E102" s="66"/>
      <c r="F102" s="66"/>
      <c r="G102" s="66"/>
      <c r="H102" s="66">
        <f>C102</f>
        <v>0</v>
      </c>
      <c r="I102" s="66"/>
      <c r="J102" s="262" t="s">
        <v>81</v>
      </c>
      <c r="K102" s="76">
        <f t="shared" si="6"/>
        <v>0</v>
      </c>
      <c r="L102" s="15"/>
      <c r="M102" s="17"/>
      <c r="N102" s="17"/>
      <c r="O102" s="17">
        <v>1</v>
      </c>
      <c r="P102" s="17"/>
      <c r="Q102" s="166"/>
      <c r="X102" s="252"/>
    </row>
    <row r="103" spans="1:24" s="73" customFormat="1" ht="12.75">
      <c r="A103" s="320"/>
      <c r="B103" s="78">
        <f t="shared" si="4"/>
        <v>0</v>
      </c>
      <c r="C103" s="217">
        <f t="shared" si="5"/>
        <v>0</v>
      </c>
      <c r="D103" s="65"/>
      <c r="E103" s="66"/>
      <c r="F103" s="66"/>
      <c r="G103" s="66"/>
      <c r="H103" s="66">
        <f>C103</f>
        <v>0</v>
      </c>
      <c r="I103" s="66"/>
      <c r="J103" s="262" t="s">
        <v>191</v>
      </c>
      <c r="K103" s="76">
        <f t="shared" si="6"/>
        <v>0</v>
      </c>
      <c r="L103" s="137"/>
      <c r="M103" s="17"/>
      <c r="N103" s="25"/>
      <c r="O103" s="25">
        <v>1</v>
      </c>
      <c r="P103" s="25"/>
      <c r="Q103" s="315"/>
      <c r="X103" s="247"/>
    </row>
    <row r="104" spans="1:24" s="73" customFormat="1" ht="12.75">
      <c r="A104" s="324"/>
      <c r="B104" s="74"/>
      <c r="C104" s="216"/>
      <c r="D104" s="74"/>
      <c r="E104" s="75"/>
      <c r="F104" s="75"/>
      <c r="G104" s="75"/>
      <c r="H104" s="75">
        <f>IF(C104,1,0)</f>
        <v>0</v>
      </c>
      <c r="I104" s="75"/>
      <c r="J104" s="267" t="s">
        <v>36</v>
      </c>
      <c r="K104" s="76"/>
      <c r="L104" s="30"/>
      <c r="M104" s="26"/>
      <c r="N104" s="26"/>
      <c r="O104" s="26"/>
      <c r="P104" s="15"/>
      <c r="Q104" s="166"/>
      <c r="X104" s="243"/>
    </row>
    <row r="105" spans="1:24" s="73" customFormat="1" ht="11.25" customHeight="1">
      <c r="A105" s="320"/>
      <c r="B105" s="78">
        <f t="shared" si="4"/>
        <v>0</v>
      </c>
      <c r="C105" s="217">
        <f t="shared" si="5"/>
        <v>0</v>
      </c>
      <c r="D105" s="65"/>
      <c r="E105" s="66"/>
      <c r="F105" s="66"/>
      <c r="G105" s="66"/>
      <c r="H105" s="65">
        <f>IF(A105&gt;0,C105*4,0)</f>
        <v>0</v>
      </c>
      <c r="I105" s="66"/>
      <c r="J105" s="262" t="s">
        <v>340</v>
      </c>
      <c r="K105" s="76">
        <f>SUM(E105:I105)</f>
        <v>0</v>
      </c>
      <c r="L105" s="15"/>
      <c r="M105" s="17"/>
      <c r="N105" s="17"/>
      <c r="O105" s="17">
        <v>4</v>
      </c>
      <c r="P105" s="17"/>
      <c r="Q105" s="166"/>
      <c r="X105" s="243"/>
    </row>
    <row r="106" spans="1:24" s="73" customFormat="1" ht="13.5" customHeight="1">
      <c r="A106" s="320"/>
      <c r="B106" s="78">
        <f t="shared" si="4"/>
        <v>0</v>
      </c>
      <c r="C106" s="217">
        <f t="shared" si="5"/>
        <v>0</v>
      </c>
      <c r="D106" s="65"/>
      <c r="E106" s="66"/>
      <c r="F106" s="66"/>
      <c r="G106" s="66"/>
      <c r="H106" s="65">
        <f>IF(A106&gt;0,C106*2,0)</f>
        <v>0</v>
      </c>
      <c r="I106" s="66"/>
      <c r="J106" s="262" t="s">
        <v>341</v>
      </c>
      <c r="K106" s="76">
        <f>SUM(E106:I106)</f>
        <v>0</v>
      </c>
      <c r="L106" s="15"/>
      <c r="M106" s="17"/>
      <c r="N106" s="17"/>
      <c r="O106" s="17">
        <v>2</v>
      </c>
      <c r="P106" s="17"/>
      <c r="Q106" s="166"/>
      <c r="X106" s="243"/>
    </row>
    <row r="107" spans="1:24" s="73" customFormat="1" ht="24" customHeight="1">
      <c r="A107" s="324"/>
      <c r="B107" s="74"/>
      <c r="C107" s="216"/>
      <c r="D107" s="74"/>
      <c r="E107" s="75"/>
      <c r="F107" s="75"/>
      <c r="G107" s="75"/>
      <c r="H107" s="75"/>
      <c r="I107" s="75"/>
      <c r="J107" s="285" t="s">
        <v>90</v>
      </c>
      <c r="K107" s="76"/>
      <c r="L107" s="30"/>
      <c r="M107" s="26"/>
      <c r="N107" s="26"/>
      <c r="O107" s="26"/>
      <c r="P107" s="15"/>
      <c r="Q107" s="166"/>
      <c r="X107" s="243"/>
    </row>
    <row r="108" spans="1:24" s="73" customFormat="1" ht="12.75">
      <c r="A108" s="320"/>
      <c r="B108" s="65">
        <f t="shared" si="4"/>
        <v>0</v>
      </c>
      <c r="C108" s="219">
        <f t="shared" si="5"/>
        <v>0</v>
      </c>
      <c r="D108" s="65"/>
      <c r="E108" s="66"/>
      <c r="F108" s="66">
        <f>C108*2</f>
        <v>0</v>
      </c>
      <c r="G108" s="66"/>
      <c r="H108" s="66">
        <f>C108*2</f>
        <v>0</v>
      </c>
      <c r="I108" s="66"/>
      <c r="J108" s="262" t="s">
        <v>48</v>
      </c>
      <c r="K108" s="76">
        <f t="shared" si="6"/>
        <v>0</v>
      </c>
      <c r="L108" s="15"/>
      <c r="M108" s="17">
        <v>2</v>
      </c>
      <c r="N108" s="17"/>
      <c r="O108" s="17">
        <v>2</v>
      </c>
      <c r="P108" s="17"/>
      <c r="Q108" s="166"/>
      <c r="X108" s="243"/>
    </row>
    <row r="109" spans="1:24" s="73" customFormat="1" ht="12.75">
      <c r="A109" s="320"/>
      <c r="B109" s="65">
        <f t="shared" si="4"/>
        <v>0</v>
      </c>
      <c r="C109" s="219">
        <f t="shared" si="5"/>
        <v>0</v>
      </c>
      <c r="D109" s="65"/>
      <c r="E109" s="66"/>
      <c r="F109" s="66">
        <f>C109*2</f>
        <v>0</v>
      </c>
      <c r="G109" s="66"/>
      <c r="H109" s="66">
        <f>C109*2</f>
        <v>0</v>
      </c>
      <c r="I109" s="66"/>
      <c r="J109" s="262" t="s">
        <v>49</v>
      </c>
      <c r="K109" s="76">
        <f t="shared" si="6"/>
        <v>0</v>
      </c>
      <c r="L109" s="15"/>
      <c r="M109" s="17">
        <v>2</v>
      </c>
      <c r="N109" s="17"/>
      <c r="O109" s="17">
        <v>2</v>
      </c>
      <c r="P109" s="17"/>
      <c r="Q109" s="166"/>
      <c r="X109" s="243"/>
    </row>
    <row r="110" spans="1:24" s="73" customFormat="1" ht="13.5" customHeight="1">
      <c r="A110" s="320"/>
      <c r="B110" s="78">
        <f t="shared" si="4"/>
        <v>0</v>
      </c>
      <c r="C110" s="217">
        <f t="shared" si="5"/>
        <v>0</v>
      </c>
      <c r="D110" s="78"/>
      <c r="E110" s="79"/>
      <c r="F110" s="66">
        <f>C110*2</f>
        <v>0</v>
      </c>
      <c r="G110" s="79"/>
      <c r="H110" s="66">
        <f>C110*2</f>
        <v>0</v>
      </c>
      <c r="I110" s="79"/>
      <c r="J110" s="271" t="s">
        <v>50</v>
      </c>
      <c r="K110" s="76">
        <f t="shared" si="6"/>
        <v>0</v>
      </c>
      <c r="L110" s="15"/>
      <c r="M110" s="17">
        <v>2</v>
      </c>
      <c r="N110" s="17"/>
      <c r="O110" s="17">
        <v>2</v>
      </c>
      <c r="P110" s="17"/>
      <c r="Q110" s="166"/>
      <c r="X110" s="243"/>
    </row>
    <row r="111" spans="1:24" s="73" customFormat="1" ht="12.75">
      <c r="A111" s="324"/>
      <c r="B111" s="74"/>
      <c r="C111" s="216"/>
      <c r="D111" s="74"/>
      <c r="E111" s="75"/>
      <c r="F111" s="75"/>
      <c r="G111" s="75"/>
      <c r="H111" s="75"/>
      <c r="I111" s="75"/>
      <c r="J111" s="267" t="s">
        <v>178</v>
      </c>
      <c r="K111" s="76"/>
      <c r="L111" s="30"/>
      <c r="M111" s="26"/>
      <c r="N111" s="26"/>
      <c r="O111" s="26"/>
      <c r="P111" s="15"/>
      <c r="Q111" s="166"/>
      <c r="X111" s="243"/>
    </row>
    <row r="112" spans="1:24" s="73" customFormat="1" ht="12.75">
      <c r="A112" s="317" t="s">
        <v>220</v>
      </c>
      <c r="B112" s="65" t="b">
        <f>IF(A112="Yes",TRUE,FALSE)</f>
        <v>0</v>
      </c>
      <c r="C112" s="219" t="b">
        <f>B112</f>
        <v>0</v>
      </c>
      <c r="D112" s="65"/>
      <c r="E112" s="66"/>
      <c r="F112" s="66"/>
      <c r="G112" s="66">
        <f>IF(C112,1,0)</f>
        <v>0</v>
      </c>
      <c r="H112" s="66"/>
      <c r="I112" s="66"/>
      <c r="J112" s="262" t="s">
        <v>63</v>
      </c>
      <c r="K112" s="76">
        <f t="shared" si="6"/>
        <v>0</v>
      </c>
      <c r="L112" s="15"/>
      <c r="M112" s="17"/>
      <c r="N112" s="17">
        <v>1</v>
      </c>
      <c r="O112" s="17"/>
      <c r="P112" s="17"/>
      <c r="Q112" s="166"/>
      <c r="X112" s="252"/>
    </row>
    <row r="113" spans="1:24" s="73" customFormat="1" ht="12.75">
      <c r="A113" s="317" t="s">
        <v>220</v>
      </c>
      <c r="B113" s="65" t="b">
        <f>IF(A113="Yes",TRUE,FALSE)</f>
        <v>0</v>
      </c>
      <c r="C113" s="219" t="b">
        <f>B113</f>
        <v>0</v>
      </c>
      <c r="D113" s="78"/>
      <c r="E113" s="79"/>
      <c r="F113" s="79"/>
      <c r="G113" s="66">
        <f>IF(C113,1,0)</f>
        <v>0</v>
      </c>
      <c r="H113" s="79"/>
      <c r="I113" s="79"/>
      <c r="J113" s="139" t="s">
        <v>169</v>
      </c>
      <c r="K113" s="76">
        <f t="shared" si="6"/>
        <v>0</v>
      </c>
      <c r="L113" s="15"/>
      <c r="M113" s="17"/>
      <c r="N113" s="17">
        <v>1</v>
      </c>
      <c r="O113" s="17"/>
      <c r="P113" s="17"/>
      <c r="Q113" s="166"/>
      <c r="X113" s="252"/>
    </row>
    <row r="114" spans="1:24" s="73" customFormat="1" ht="24">
      <c r="A114" s="320"/>
      <c r="B114" s="114">
        <f>IF(A114&gt;0,(LOOKUP(A114,$V$9:$V$13,$U$9:$U$13)),0)</f>
        <v>0</v>
      </c>
      <c r="C114" s="194">
        <f>IF(B114=5,1,A114)</f>
        <v>0</v>
      </c>
      <c r="D114" s="114"/>
      <c r="E114" s="23"/>
      <c r="F114" s="66">
        <f>C114</f>
        <v>0</v>
      </c>
      <c r="G114" s="23"/>
      <c r="H114" s="23"/>
      <c r="I114" s="23"/>
      <c r="J114" s="275" t="s">
        <v>84</v>
      </c>
      <c r="K114" s="76">
        <f t="shared" si="6"/>
        <v>0</v>
      </c>
      <c r="L114" s="15"/>
      <c r="M114" s="17">
        <v>1</v>
      </c>
      <c r="N114" s="17"/>
      <c r="O114" s="17"/>
      <c r="P114" s="17"/>
      <c r="Q114" s="166"/>
      <c r="X114" s="243"/>
    </row>
    <row r="115" spans="1:24" s="73" customFormat="1" ht="12.75">
      <c r="A115" s="324"/>
      <c r="B115" s="74"/>
      <c r="C115" s="216"/>
      <c r="D115" s="74"/>
      <c r="E115" s="75"/>
      <c r="F115" s="75"/>
      <c r="G115" s="75"/>
      <c r="H115" s="66"/>
      <c r="I115" s="75"/>
      <c r="J115" s="272" t="s">
        <v>192</v>
      </c>
      <c r="K115" s="76"/>
      <c r="L115" s="30"/>
      <c r="M115" s="26"/>
      <c r="N115" s="26"/>
      <c r="O115" s="26"/>
      <c r="P115" s="15"/>
      <c r="Q115" s="166"/>
      <c r="X115" s="245"/>
    </row>
    <row r="116" spans="1:24" s="73" customFormat="1" ht="12.75">
      <c r="A116" s="320"/>
      <c r="B116" s="65">
        <f t="shared" si="4"/>
        <v>0</v>
      </c>
      <c r="C116" s="219">
        <f t="shared" si="5"/>
        <v>0</v>
      </c>
      <c r="D116" s="65"/>
      <c r="E116" s="66"/>
      <c r="F116" s="66"/>
      <c r="G116" s="66"/>
      <c r="H116" s="66">
        <f>SUM(C116,C117)</f>
        <v>0</v>
      </c>
      <c r="I116" s="66"/>
      <c r="J116" s="260" t="s">
        <v>117</v>
      </c>
      <c r="K116" s="76">
        <f t="shared" si="6"/>
        <v>0</v>
      </c>
      <c r="L116" s="15"/>
      <c r="M116" s="17"/>
      <c r="N116" s="17"/>
      <c r="O116" s="17">
        <v>1</v>
      </c>
      <c r="P116" s="17"/>
      <c r="Q116" s="166"/>
      <c r="X116" s="243"/>
    </row>
    <row r="117" spans="1:24" s="73" customFormat="1" ht="12.75">
      <c r="A117" s="320"/>
      <c r="B117" s="78">
        <f t="shared" si="4"/>
        <v>0</v>
      </c>
      <c r="C117" s="217">
        <f t="shared" si="5"/>
        <v>0</v>
      </c>
      <c r="D117" s="78"/>
      <c r="E117" s="79"/>
      <c r="F117" s="66">
        <f>C117</f>
        <v>0</v>
      </c>
      <c r="G117" s="79"/>
      <c r="H117" s="79"/>
      <c r="I117" s="79"/>
      <c r="J117" s="258" t="s">
        <v>116</v>
      </c>
      <c r="K117" s="76">
        <f t="shared" si="6"/>
        <v>0</v>
      </c>
      <c r="L117" s="15"/>
      <c r="M117" s="17">
        <v>1</v>
      </c>
      <c r="N117" s="17"/>
      <c r="O117" s="17"/>
      <c r="P117" s="17"/>
      <c r="Q117" s="166"/>
      <c r="X117" s="252"/>
    </row>
    <row r="118" spans="1:24" s="73" customFormat="1" ht="16.5" customHeight="1">
      <c r="A118" s="323"/>
      <c r="B118" s="74"/>
      <c r="C118" s="216"/>
      <c r="D118" s="74"/>
      <c r="E118" s="75"/>
      <c r="F118" s="75"/>
      <c r="G118" s="75"/>
      <c r="H118" s="75"/>
      <c r="I118" s="75"/>
      <c r="J118" s="285" t="s">
        <v>152</v>
      </c>
      <c r="K118" s="76"/>
      <c r="L118" s="15"/>
      <c r="M118" s="17"/>
      <c r="N118" s="17"/>
      <c r="O118" s="17"/>
      <c r="P118" s="17"/>
      <c r="Q118" s="166"/>
      <c r="X118" s="243"/>
    </row>
    <row r="119" spans="1:24" s="73" customFormat="1" ht="14.25" customHeight="1">
      <c r="A119" s="317" t="s">
        <v>220</v>
      </c>
      <c r="B119" s="65" t="b">
        <f>IF(A119="Yes",TRUE,FALSE)</f>
        <v>0</v>
      </c>
      <c r="C119" s="219" t="b">
        <f>B119</f>
        <v>0</v>
      </c>
      <c r="D119" s="65"/>
      <c r="E119" s="66"/>
      <c r="F119" s="66"/>
      <c r="G119" s="66"/>
      <c r="H119" s="66">
        <f>IF(OR(C119,C120),1,0)</f>
        <v>0</v>
      </c>
      <c r="I119" s="66"/>
      <c r="J119" s="278" t="s">
        <v>258</v>
      </c>
      <c r="K119" s="76">
        <f>H119</f>
        <v>0</v>
      </c>
      <c r="L119" s="15"/>
      <c r="M119" s="16"/>
      <c r="N119" s="16"/>
      <c r="O119" s="17">
        <v>1</v>
      </c>
      <c r="P119" s="17"/>
      <c r="Q119" s="166"/>
      <c r="X119" s="243"/>
    </row>
    <row r="120" spans="1:24" s="73" customFormat="1" ht="12" customHeight="1">
      <c r="A120" s="317" t="s">
        <v>220</v>
      </c>
      <c r="B120" s="65" t="b">
        <f>IF(A120="Yes",TRUE,FALSE)</f>
        <v>0</v>
      </c>
      <c r="C120" s="219" t="b">
        <f>B120</f>
        <v>0</v>
      </c>
      <c r="D120" s="78"/>
      <c r="E120" s="79"/>
      <c r="F120" s="79"/>
      <c r="G120" s="79"/>
      <c r="H120" s="79">
        <f>IF(C120,2,0)</f>
        <v>0</v>
      </c>
      <c r="I120" s="79"/>
      <c r="J120" s="279" t="s">
        <v>259</v>
      </c>
      <c r="K120" s="76">
        <f>H120</f>
        <v>0</v>
      </c>
      <c r="L120" s="15"/>
      <c r="M120" s="16"/>
      <c r="N120" s="16"/>
      <c r="O120" s="17">
        <v>2</v>
      </c>
      <c r="P120" s="17"/>
      <c r="Q120" s="166"/>
      <c r="X120" s="255"/>
    </row>
    <row r="121" spans="1:24" s="73" customFormat="1" ht="13.5" customHeight="1">
      <c r="A121" s="317" t="s">
        <v>220</v>
      </c>
      <c r="B121" s="114" t="b">
        <f>IF(A121="Yes",TRUE,FALSE)</f>
        <v>0</v>
      </c>
      <c r="C121" s="194" t="b">
        <f>B121</f>
        <v>0</v>
      </c>
      <c r="D121" s="114"/>
      <c r="E121" s="23"/>
      <c r="F121" s="23"/>
      <c r="G121" s="23"/>
      <c r="H121" s="23"/>
      <c r="I121" s="23"/>
      <c r="J121" s="270" t="s">
        <v>193</v>
      </c>
      <c r="K121" s="76">
        <f>E121</f>
        <v>0</v>
      </c>
      <c r="L121" s="15"/>
      <c r="M121" s="16"/>
      <c r="N121" s="16"/>
      <c r="O121" s="16" t="s">
        <v>79</v>
      </c>
      <c r="P121" s="17"/>
      <c r="Q121" s="166"/>
      <c r="X121" s="252"/>
    </row>
    <row r="122" spans="1:24" s="73" customFormat="1" ht="12.75">
      <c r="A122" s="228"/>
      <c r="B122" s="65"/>
      <c r="C122" s="219"/>
      <c r="D122" s="65"/>
      <c r="E122" s="66"/>
      <c r="F122" s="66"/>
      <c r="G122" s="66"/>
      <c r="H122" s="66"/>
      <c r="I122" s="66"/>
      <c r="J122" s="140" t="s">
        <v>175</v>
      </c>
      <c r="K122" s="141">
        <f>SUM(K93:K121)</f>
        <v>0</v>
      </c>
      <c r="L122" s="142"/>
      <c r="M122" s="142"/>
      <c r="N122" s="142"/>
      <c r="O122" s="142"/>
      <c r="P122" s="143"/>
      <c r="Q122" s="133"/>
      <c r="X122" s="243"/>
    </row>
    <row r="123" spans="1:24" s="123" customFormat="1" ht="12.75" customHeight="1">
      <c r="A123" s="230" t="s">
        <v>45</v>
      </c>
      <c r="B123" s="109"/>
      <c r="C123" s="220"/>
      <c r="D123" s="109"/>
      <c r="E123" s="110"/>
      <c r="F123" s="110"/>
      <c r="G123" s="110"/>
      <c r="H123" s="110"/>
      <c r="I123" s="110"/>
      <c r="J123" s="109"/>
      <c r="K123" s="76"/>
      <c r="L123" s="379" t="s">
        <v>39</v>
      </c>
      <c r="M123" s="378"/>
      <c r="N123" s="378"/>
      <c r="O123" s="378"/>
      <c r="P123" s="378"/>
      <c r="Q123" s="370"/>
      <c r="X123" s="243"/>
    </row>
    <row r="124" spans="1:24" s="73" customFormat="1" ht="12.75">
      <c r="A124" s="320"/>
      <c r="B124" s="78">
        <f>IF(A124&gt;0,(LOOKUP(A124,$V$9:$V$13,$U$9:$U$13)),0)</f>
        <v>0</v>
      </c>
      <c r="C124" s="217">
        <f>IF(B124=5,1,A124)</f>
        <v>0</v>
      </c>
      <c r="D124" s="114"/>
      <c r="E124" s="23"/>
      <c r="F124" s="23"/>
      <c r="G124" s="23"/>
      <c r="H124" s="23">
        <f>C124*2</f>
        <v>0</v>
      </c>
      <c r="I124" s="23"/>
      <c r="J124" s="270" t="s">
        <v>91</v>
      </c>
      <c r="K124" s="94">
        <f>SUM(D124:I124)</f>
        <v>0</v>
      </c>
      <c r="L124" s="144"/>
      <c r="M124" s="27"/>
      <c r="N124" s="27"/>
      <c r="O124" s="27">
        <v>2</v>
      </c>
      <c r="P124" s="27"/>
      <c r="Q124" s="166"/>
      <c r="X124" s="252"/>
    </row>
    <row r="125" spans="1:24" s="73" customFormat="1" ht="16.5" customHeight="1">
      <c r="A125" s="320"/>
      <c r="B125" s="78">
        <f>IF(A125&gt;0,(LOOKUP(A125,$V$9:$V$13,$U$9:$U$13)),0)</f>
        <v>0</v>
      </c>
      <c r="C125" s="217">
        <f>IF(B125=5,1,A125)</f>
        <v>0</v>
      </c>
      <c r="D125" s="114"/>
      <c r="E125" s="23"/>
      <c r="F125" s="23"/>
      <c r="G125" s="23"/>
      <c r="H125" s="23">
        <f>C125*2</f>
        <v>0</v>
      </c>
      <c r="I125" s="23"/>
      <c r="J125" s="270" t="s">
        <v>34</v>
      </c>
      <c r="K125" s="76">
        <f>SUM(D125:I125)</f>
        <v>0</v>
      </c>
      <c r="L125" s="15"/>
      <c r="M125" s="17"/>
      <c r="N125" s="17"/>
      <c r="O125" s="17">
        <v>2</v>
      </c>
      <c r="P125" s="17"/>
      <c r="Q125" s="166"/>
      <c r="X125" s="243"/>
    </row>
    <row r="126" spans="1:24" s="73" customFormat="1" ht="12.75">
      <c r="A126" s="320"/>
      <c r="B126" s="78">
        <f>IF(A126&gt;0,(LOOKUP(A126,$V$9:$V$13,$U$9:$U$13)),0)</f>
        <v>0</v>
      </c>
      <c r="C126" s="217">
        <f>IF(B126=5,1,A126)</f>
        <v>0</v>
      </c>
      <c r="D126" s="114"/>
      <c r="E126" s="23"/>
      <c r="F126" s="23"/>
      <c r="G126" s="23"/>
      <c r="H126" s="23">
        <f>C126</f>
        <v>0</v>
      </c>
      <c r="I126" s="23"/>
      <c r="J126" s="270" t="s">
        <v>35</v>
      </c>
      <c r="K126" s="76">
        <f>SUM(D126:I126)</f>
        <v>0</v>
      </c>
      <c r="L126" s="15"/>
      <c r="M126" s="17"/>
      <c r="N126" s="17"/>
      <c r="O126" s="17">
        <v>1</v>
      </c>
      <c r="P126" s="17"/>
      <c r="Q126" s="166"/>
      <c r="X126" s="252"/>
    </row>
    <row r="127" spans="1:24" s="73" customFormat="1" ht="13.5" customHeight="1">
      <c r="A127" s="320"/>
      <c r="B127" s="78">
        <f>IF(A127&gt;0,(LOOKUP(A127,$V$9:$V$13,$U$9:$U$13)),0)</f>
        <v>0</v>
      </c>
      <c r="C127" s="217">
        <f>IF(B127=5,1,A127)</f>
        <v>0</v>
      </c>
      <c r="D127" s="114"/>
      <c r="E127" s="23"/>
      <c r="F127" s="23"/>
      <c r="G127" s="23"/>
      <c r="H127" s="23">
        <f>C127*2</f>
        <v>0</v>
      </c>
      <c r="I127" s="23"/>
      <c r="J127" s="270" t="s">
        <v>170</v>
      </c>
      <c r="K127" s="76">
        <f>SUM(D127:I127)</f>
        <v>0</v>
      </c>
      <c r="L127" s="15"/>
      <c r="M127" s="17"/>
      <c r="N127" s="17"/>
      <c r="O127" s="17">
        <v>2</v>
      </c>
      <c r="P127" s="17"/>
      <c r="Q127" s="166"/>
      <c r="X127" s="252"/>
    </row>
    <row r="128" spans="1:24" s="73" customFormat="1" ht="12.75">
      <c r="A128" s="231"/>
      <c r="B128" s="114"/>
      <c r="C128" s="194"/>
      <c r="D128" s="114"/>
      <c r="E128" s="23"/>
      <c r="F128" s="23"/>
      <c r="G128" s="23"/>
      <c r="H128" s="23"/>
      <c r="I128" s="23"/>
      <c r="J128" s="121" t="s">
        <v>22</v>
      </c>
      <c r="K128" s="108">
        <f>SUM(K124:K127)</f>
        <v>0</v>
      </c>
      <c r="L128" s="31"/>
      <c r="M128" s="31"/>
      <c r="N128" s="31"/>
      <c r="O128" s="31"/>
      <c r="P128" s="28"/>
      <c r="Q128" s="18"/>
      <c r="X128" s="243"/>
    </row>
    <row r="129" spans="1:24" s="123" customFormat="1" ht="12.75" customHeight="1">
      <c r="A129" s="232" t="s">
        <v>65</v>
      </c>
      <c r="B129" s="145"/>
      <c r="C129" s="221"/>
      <c r="D129" s="145"/>
      <c r="E129" s="146"/>
      <c r="F129" s="146"/>
      <c r="G129" s="146"/>
      <c r="H129" s="146"/>
      <c r="I129" s="146"/>
      <c r="J129" s="145"/>
      <c r="K129" s="76"/>
      <c r="L129" s="378" t="s">
        <v>39</v>
      </c>
      <c r="M129" s="378"/>
      <c r="N129" s="378"/>
      <c r="O129" s="378"/>
      <c r="P129" s="378"/>
      <c r="Q129" s="370"/>
      <c r="X129" s="243"/>
    </row>
    <row r="130" spans="1:24" s="73" customFormat="1" ht="12.75">
      <c r="A130" s="227"/>
      <c r="B130" s="74"/>
      <c r="C130" s="216"/>
      <c r="D130" s="74"/>
      <c r="E130" s="75"/>
      <c r="F130" s="75"/>
      <c r="G130" s="75"/>
      <c r="H130" s="75"/>
      <c r="I130" s="75"/>
      <c r="J130" s="272" t="s">
        <v>33</v>
      </c>
      <c r="K130" s="76"/>
      <c r="L130" s="22"/>
      <c r="M130" s="22"/>
      <c r="N130" s="22"/>
      <c r="O130" s="22"/>
      <c r="P130" s="122"/>
      <c r="Q130" s="18"/>
      <c r="X130" s="243"/>
    </row>
    <row r="131" spans="1:24" s="73" customFormat="1" ht="12.75">
      <c r="A131" s="320"/>
      <c r="B131" s="65">
        <f>IF(A131&gt;0,(LOOKUP(A131,$V$9:$V$13,$U$9:$U$13)),0)</f>
        <v>0</v>
      </c>
      <c r="C131" s="219">
        <f>IF(B131=5,1,A131)</f>
        <v>0</v>
      </c>
      <c r="D131" s="65"/>
      <c r="E131" s="66"/>
      <c r="F131" s="66"/>
      <c r="G131" s="66"/>
      <c r="H131" s="66">
        <f>C131</f>
        <v>0</v>
      </c>
      <c r="I131" s="66"/>
      <c r="J131" s="138" t="s">
        <v>102</v>
      </c>
      <c r="K131" s="76">
        <f aca="true" t="shared" si="7" ref="K131:K136">SUM(D131:I131)</f>
        <v>0</v>
      </c>
      <c r="L131" s="15"/>
      <c r="M131" s="17"/>
      <c r="N131" s="17"/>
      <c r="O131" s="17">
        <v>1</v>
      </c>
      <c r="P131" s="17"/>
      <c r="Q131" s="166"/>
      <c r="X131" s="243"/>
    </row>
    <row r="132" spans="1:24" s="73" customFormat="1" ht="12.75">
      <c r="A132" s="320"/>
      <c r="B132" s="65">
        <f>IF(A132&gt;0,(LOOKUP(A132,$V$9:$V$13,$U$9:$U$13)),0)</f>
        <v>0</v>
      </c>
      <c r="C132" s="219">
        <f>IF(B132=5,1,A132)</f>
        <v>0</v>
      </c>
      <c r="D132" s="78"/>
      <c r="E132" s="79"/>
      <c r="F132" s="79"/>
      <c r="G132" s="79"/>
      <c r="H132" s="66">
        <f>C132</f>
        <v>0</v>
      </c>
      <c r="I132" s="79"/>
      <c r="J132" s="139" t="s">
        <v>51</v>
      </c>
      <c r="K132" s="76">
        <f t="shared" si="7"/>
        <v>0</v>
      </c>
      <c r="L132" s="15"/>
      <c r="M132" s="17"/>
      <c r="N132" s="17"/>
      <c r="O132" s="17">
        <v>1</v>
      </c>
      <c r="P132" s="17"/>
      <c r="Q132" s="166"/>
      <c r="X132" s="243"/>
    </row>
    <row r="133" spans="1:24" s="73" customFormat="1" ht="12.75">
      <c r="A133" s="324"/>
      <c r="B133" s="74"/>
      <c r="C133" s="216"/>
      <c r="D133" s="74"/>
      <c r="E133" s="75"/>
      <c r="F133" s="75"/>
      <c r="G133" s="75"/>
      <c r="H133" s="75"/>
      <c r="I133" s="75"/>
      <c r="J133" s="272" t="s">
        <v>92</v>
      </c>
      <c r="K133" s="76"/>
      <c r="L133" s="15"/>
      <c r="M133" s="17"/>
      <c r="N133" s="17"/>
      <c r="O133" s="17"/>
      <c r="P133" s="17"/>
      <c r="Q133" s="166"/>
      <c r="X133" s="243"/>
    </row>
    <row r="134" spans="1:24" s="73" customFormat="1" ht="12.75">
      <c r="A134" s="320"/>
      <c r="B134" s="65">
        <f>IF(A134&gt;0,(LOOKUP(A134,$V$9:$V$13,$U$9:$U$13)),0)</f>
        <v>0</v>
      </c>
      <c r="C134" s="219">
        <f>IF(B134=5,1,A134)</f>
        <v>0</v>
      </c>
      <c r="D134" s="65"/>
      <c r="E134" s="66"/>
      <c r="F134" s="66"/>
      <c r="G134" s="66">
        <f>C134</f>
        <v>0</v>
      </c>
      <c r="H134" s="66"/>
      <c r="I134" s="66"/>
      <c r="J134" s="138" t="s">
        <v>102</v>
      </c>
      <c r="K134" s="76">
        <f t="shared" si="7"/>
        <v>0</v>
      </c>
      <c r="L134" s="15"/>
      <c r="M134" s="17"/>
      <c r="N134" s="17">
        <v>1</v>
      </c>
      <c r="O134" s="17"/>
      <c r="P134" s="17"/>
      <c r="Q134" s="166"/>
      <c r="X134" s="252"/>
    </row>
    <row r="135" spans="1:24" s="73" customFormat="1" ht="12.75">
      <c r="A135" s="320"/>
      <c r="B135" s="65">
        <f>IF(A135&gt;0,(LOOKUP(A135,$V$9:$V$13,$U$9:$U$13)),0)</f>
        <v>0</v>
      </c>
      <c r="C135" s="219">
        <f>IF(B135=5,1,A135)</f>
        <v>0</v>
      </c>
      <c r="D135" s="78"/>
      <c r="E135" s="79"/>
      <c r="F135" s="79"/>
      <c r="G135" s="66">
        <f>C135</f>
        <v>0</v>
      </c>
      <c r="H135" s="79"/>
      <c r="I135" s="79"/>
      <c r="J135" s="139" t="s">
        <v>51</v>
      </c>
      <c r="K135" s="76">
        <f t="shared" si="7"/>
        <v>0</v>
      </c>
      <c r="L135" s="15"/>
      <c r="M135" s="17"/>
      <c r="N135" s="17">
        <v>1</v>
      </c>
      <c r="O135" s="17"/>
      <c r="P135" s="17"/>
      <c r="Q135" s="166"/>
      <c r="X135" s="252"/>
    </row>
    <row r="136" spans="1:24" s="73" customFormat="1" ht="13.5" customHeight="1">
      <c r="A136" s="320"/>
      <c r="B136" s="295">
        <f>IF(A136&gt;0,(LOOKUP(A136,$V$9:$V$13,$U$9:$U$13)),0)</f>
        <v>0</v>
      </c>
      <c r="C136" s="194">
        <f>IF(B136=5,1,A136)</f>
        <v>0</v>
      </c>
      <c r="D136" s="114"/>
      <c r="E136" s="23"/>
      <c r="F136" s="23">
        <f>C136</f>
        <v>0</v>
      </c>
      <c r="G136" s="23"/>
      <c r="H136" s="23"/>
      <c r="I136" s="23"/>
      <c r="J136" s="269" t="s">
        <v>120</v>
      </c>
      <c r="K136" s="76">
        <f t="shared" si="7"/>
        <v>0</v>
      </c>
      <c r="L136" s="15"/>
      <c r="M136" s="17">
        <v>1</v>
      </c>
      <c r="N136" s="17"/>
      <c r="O136" s="17"/>
      <c r="P136" s="17"/>
      <c r="Q136" s="166"/>
      <c r="X136" s="243"/>
    </row>
    <row r="137" spans="1:24" s="73" customFormat="1" ht="12.75">
      <c r="A137" s="231"/>
      <c r="B137" s="114"/>
      <c r="C137" s="194"/>
      <c r="D137" s="114"/>
      <c r="E137" s="23"/>
      <c r="F137" s="23"/>
      <c r="G137" s="23"/>
      <c r="H137" s="23"/>
      <c r="I137" s="23"/>
      <c r="J137" s="147" t="s">
        <v>23</v>
      </c>
      <c r="K137" s="108">
        <f>SUM(K130:K136)</f>
        <v>0</v>
      </c>
      <c r="L137" s="31"/>
      <c r="M137" s="31"/>
      <c r="N137" s="31"/>
      <c r="O137" s="31"/>
      <c r="P137" s="28"/>
      <c r="Q137" s="18"/>
      <c r="X137" s="243"/>
    </row>
    <row r="138" spans="1:24" s="123" customFormat="1" ht="12.75" customHeight="1">
      <c r="A138" s="232" t="s">
        <v>66</v>
      </c>
      <c r="B138" s="145"/>
      <c r="C138" s="221"/>
      <c r="D138" s="145"/>
      <c r="E138" s="146"/>
      <c r="F138" s="146"/>
      <c r="G138" s="146"/>
      <c r="H138" s="146"/>
      <c r="I138" s="146"/>
      <c r="J138" s="145"/>
      <c r="K138" s="76"/>
      <c r="L138" s="378" t="s">
        <v>39</v>
      </c>
      <c r="M138" s="378"/>
      <c r="N138" s="378"/>
      <c r="O138" s="378"/>
      <c r="P138" s="378"/>
      <c r="Q138" s="370"/>
      <c r="X138" s="243"/>
    </row>
    <row r="139" spans="1:24" s="73" customFormat="1" ht="13.5" customHeight="1">
      <c r="A139" s="227"/>
      <c r="B139" s="74"/>
      <c r="C139" s="216"/>
      <c r="D139" s="74"/>
      <c r="E139" s="75"/>
      <c r="F139" s="75"/>
      <c r="G139" s="75"/>
      <c r="H139" s="75"/>
      <c r="I139" s="75"/>
      <c r="J139" s="267" t="s">
        <v>80</v>
      </c>
      <c r="K139" s="76"/>
      <c r="L139" s="22"/>
      <c r="M139" s="22"/>
      <c r="N139" s="22"/>
      <c r="O139" s="22"/>
      <c r="P139" s="122"/>
      <c r="Q139" s="18"/>
      <c r="X139" s="243"/>
    </row>
    <row r="140" spans="1:24" s="73" customFormat="1" ht="14.25" customHeight="1">
      <c r="A140" s="320"/>
      <c r="B140" s="65">
        <f>IF(A140&gt;0,(LOOKUP(A140,$S$15:$S$17,$T$15:$T$17)),0)</f>
        <v>0</v>
      </c>
      <c r="C140" s="219">
        <f>IF(B140=3,0.5,A140)</f>
        <v>0</v>
      </c>
      <c r="D140" s="65"/>
      <c r="E140" s="66"/>
      <c r="F140" s="66">
        <f>C140*2</f>
        <v>0</v>
      </c>
      <c r="G140" s="66"/>
      <c r="H140" s="66"/>
      <c r="I140" s="66">
        <f>C140*2</f>
        <v>0</v>
      </c>
      <c r="J140" s="262" t="s">
        <v>241</v>
      </c>
      <c r="K140" s="76">
        <f>SUM(F140:I140)</f>
        <v>0</v>
      </c>
      <c r="L140" s="15"/>
      <c r="M140" s="17">
        <v>1</v>
      </c>
      <c r="N140" s="17"/>
      <c r="O140" s="17"/>
      <c r="P140" s="17">
        <v>1</v>
      </c>
      <c r="Q140" s="166"/>
      <c r="X140" s="243"/>
    </row>
    <row r="141" spans="1:24" s="73" customFormat="1" ht="13.5" customHeight="1">
      <c r="A141" s="317" t="s">
        <v>220</v>
      </c>
      <c r="B141" s="65" t="b">
        <f>IF(A141="Yes",TRUE,FALSE)</f>
        <v>0</v>
      </c>
      <c r="C141" s="219" t="b">
        <f aca="true" t="shared" si="8" ref="C141:C189">B141</f>
        <v>0</v>
      </c>
      <c r="D141" s="65"/>
      <c r="E141" s="66"/>
      <c r="F141" s="66">
        <f>IF(AND(C141,$C$140&gt;0),1,0)</f>
        <v>0</v>
      </c>
      <c r="G141" s="66"/>
      <c r="H141" s="66"/>
      <c r="I141" s="66">
        <f>IF(AND(C141,C140&gt;0),1,0)</f>
        <v>0</v>
      </c>
      <c r="J141" s="262" t="s">
        <v>171</v>
      </c>
      <c r="K141" s="76">
        <f>SUM(F141:I141)</f>
        <v>0</v>
      </c>
      <c r="L141" s="15"/>
      <c r="M141" s="17">
        <v>1</v>
      </c>
      <c r="N141" s="17"/>
      <c r="O141" s="17"/>
      <c r="P141" s="17">
        <v>1</v>
      </c>
      <c r="Q141" s="166"/>
      <c r="X141" s="243"/>
    </row>
    <row r="142" spans="1:24" s="73" customFormat="1" ht="13.5" customHeight="1">
      <c r="A142" s="317" t="s">
        <v>220</v>
      </c>
      <c r="B142" s="65" t="b">
        <f>IF(A142="Yes",TRUE,FALSE)</f>
        <v>0</v>
      </c>
      <c r="C142" s="219" t="b">
        <f t="shared" si="8"/>
        <v>0</v>
      </c>
      <c r="D142" s="65"/>
      <c r="E142" s="66"/>
      <c r="F142" s="66">
        <f>IF(AND(C142,$C$140&gt;0),1,0)</f>
        <v>0</v>
      </c>
      <c r="G142" s="66"/>
      <c r="H142" s="66"/>
      <c r="I142" s="66">
        <f>IF(AND(C142,C140&gt;0),1,0)</f>
        <v>0</v>
      </c>
      <c r="J142" s="138" t="s">
        <v>248</v>
      </c>
      <c r="K142" s="76">
        <f>SUM(F142:I142)</f>
        <v>0</v>
      </c>
      <c r="L142" s="15"/>
      <c r="M142" s="17">
        <v>1</v>
      </c>
      <c r="N142" s="17"/>
      <c r="O142" s="17"/>
      <c r="P142" s="17">
        <v>1</v>
      </c>
      <c r="Q142" s="166"/>
      <c r="X142" s="252"/>
    </row>
    <row r="143" spans="1:24" s="73" customFormat="1" ht="13.5" customHeight="1">
      <c r="A143" s="320"/>
      <c r="B143" s="295">
        <f>IF(A143&gt;0,(LOOKUP(A143,$V$9:$V$13,$U$9:$U$13)),0)</f>
        <v>0</v>
      </c>
      <c r="C143" s="194">
        <f>IF(B143=5,1,A143)</f>
        <v>0</v>
      </c>
      <c r="D143" s="114"/>
      <c r="E143" s="23"/>
      <c r="F143" s="23"/>
      <c r="G143" s="23"/>
      <c r="H143" s="23">
        <f>C143</f>
        <v>0</v>
      </c>
      <c r="I143" s="23">
        <f>C143*2</f>
        <v>0</v>
      </c>
      <c r="J143" s="270" t="s">
        <v>230</v>
      </c>
      <c r="K143" s="76">
        <f>SUM(D143:I143)</f>
        <v>0</v>
      </c>
      <c r="L143" s="15"/>
      <c r="M143" s="17"/>
      <c r="N143" s="17"/>
      <c r="O143" s="17">
        <v>1</v>
      </c>
      <c r="P143" s="17">
        <v>2</v>
      </c>
      <c r="Q143" s="166"/>
      <c r="X143" s="252"/>
    </row>
    <row r="144" spans="1:24" s="73" customFormat="1" ht="12.75">
      <c r="A144" s="324"/>
      <c r="B144" s="74"/>
      <c r="C144" s="216">
        <f t="shared" si="8"/>
        <v>0</v>
      </c>
      <c r="D144" s="74"/>
      <c r="E144" s="75"/>
      <c r="F144" s="75"/>
      <c r="G144" s="75"/>
      <c r="H144" s="75"/>
      <c r="I144" s="75"/>
      <c r="J144" s="272" t="s">
        <v>121</v>
      </c>
      <c r="K144" s="76"/>
      <c r="L144" s="15"/>
      <c r="M144" s="17"/>
      <c r="N144" s="17"/>
      <c r="O144" s="17"/>
      <c r="P144" s="17"/>
      <c r="Q144" s="166"/>
      <c r="X144" s="243"/>
    </row>
    <row r="145" spans="1:24" s="73" customFormat="1" ht="24.75" customHeight="1">
      <c r="A145" s="317" t="s">
        <v>220</v>
      </c>
      <c r="B145" s="65" t="b">
        <f>IF(A145="Yes",TRUE,FALSE)</f>
        <v>0</v>
      </c>
      <c r="C145" s="219" t="b">
        <f t="shared" si="8"/>
        <v>0</v>
      </c>
      <c r="D145" s="65"/>
      <c r="E145" s="66"/>
      <c r="F145" s="66"/>
      <c r="G145" s="66"/>
      <c r="H145" s="66"/>
      <c r="I145" s="66"/>
      <c r="J145" s="273" t="s">
        <v>216</v>
      </c>
      <c r="K145" s="76"/>
      <c r="L145" s="15"/>
      <c r="M145" s="17"/>
      <c r="N145" s="17"/>
      <c r="O145" s="17"/>
      <c r="P145" s="16" t="s">
        <v>79</v>
      </c>
      <c r="Q145" s="363"/>
      <c r="X145" s="252"/>
    </row>
    <row r="146" spans="1:24" s="73" customFormat="1" ht="12.75">
      <c r="A146" s="320"/>
      <c r="B146" s="65">
        <f>IF(A146&gt;0,(LOOKUP(A146,$V$9:$V$13,$U$9:$U$13)),0)</f>
        <v>0</v>
      </c>
      <c r="C146" s="219">
        <f>IF(B146=5,1,A146)</f>
        <v>0</v>
      </c>
      <c r="D146" s="65"/>
      <c r="E146" s="66"/>
      <c r="F146" s="66">
        <f>C146</f>
        <v>0</v>
      </c>
      <c r="G146" s="66"/>
      <c r="H146" s="66"/>
      <c r="I146" s="66">
        <f>C146</f>
        <v>0</v>
      </c>
      <c r="J146" s="138" t="s">
        <v>182</v>
      </c>
      <c r="K146" s="76">
        <f>SUM(D146:I146)</f>
        <v>0</v>
      </c>
      <c r="L146" s="15"/>
      <c r="M146" s="24">
        <v>1</v>
      </c>
      <c r="N146" s="17"/>
      <c r="O146" s="17"/>
      <c r="P146" s="24">
        <v>1</v>
      </c>
      <c r="Q146" s="362"/>
      <c r="X146" s="243"/>
    </row>
    <row r="147" spans="1:24" s="73" customFormat="1" ht="12.75">
      <c r="A147" s="320"/>
      <c r="B147" s="78">
        <f>IF(A147&gt;0,(LOOKUP(A147,$V$9:$V$13,$U$9:$U$13)),0)</f>
        <v>0</v>
      </c>
      <c r="C147" s="217">
        <f>IF(B147=5,1,A147)</f>
        <v>0</v>
      </c>
      <c r="D147" s="78"/>
      <c r="E147" s="79"/>
      <c r="F147" s="79">
        <f>C147</f>
        <v>0</v>
      </c>
      <c r="G147" s="79"/>
      <c r="H147" s="79"/>
      <c r="I147" s="79">
        <f>C147</f>
        <v>0</v>
      </c>
      <c r="J147" s="139" t="s">
        <v>242</v>
      </c>
      <c r="K147" s="76">
        <f>SUM(D147:I147)</f>
        <v>0</v>
      </c>
      <c r="L147" s="15"/>
      <c r="M147" s="24">
        <v>1</v>
      </c>
      <c r="N147" s="17"/>
      <c r="O147" s="17"/>
      <c r="P147" s="24">
        <v>1</v>
      </c>
      <c r="Q147" s="362"/>
      <c r="X147" s="243"/>
    </row>
    <row r="148" spans="1:24" s="73" customFormat="1" ht="25.5" customHeight="1">
      <c r="A148" s="317" t="s">
        <v>220</v>
      </c>
      <c r="B148" s="114" t="b">
        <f>IF(A148="Yes",TRUE,FALSE)</f>
        <v>0</v>
      </c>
      <c r="C148" s="194" t="b">
        <f t="shared" si="8"/>
        <v>0</v>
      </c>
      <c r="D148" s="114"/>
      <c r="E148" s="23"/>
      <c r="F148" s="23"/>
      <c r="G148" s="23"/>
      <c r="H148" s="23"/>
      <c r="I148" s="23"/>
      <c r="J148" s="275" t="s">
        <v>320</v>
      </c>
      <c r="K148" s="76"/>
      <c r="L148" s="15"/>
      <c r="M148" s="17"/>
      <c r="N148" s="17"/>
      <c r="O148" s="17"/>
      <c r="P148" s="16" t="s">
        <v>79</v>
      </c>
      <c r="Q148" s="363"/>
      <c r="X148" s="252"/>
    </row>
    <row r="149" spans="1:24" s="73" customFormat="1" ht="12.75">
      <c r="A149" s="228"/>
      <c r="B149" s="65"/>
      <c r="C149" s="219"/>
      <c r="D149" s="65"/>
      <c r="E149" s="66"/>
      <c r="F149" s="66"/>
      <c r="G149" s="66"/>
      <c r="H149" s="66"/>
      <c r="I149" s="66"/>
      <c r="J149" s="132" t="s">
        <v>155</v>
      </c>
      <c r="K149" s="141">
        <f>SUM(K140:K148)</f>
        <v>0</v>
      </c>
      <c r="L149" s="31"/>
      <c r="M149" s="31"/>
      <c r="N149" s="31"/>
      <c r="O149" s="31"/>
      <c r="P149" s="28"/>
      <c r="Q149" s="18"/>
      <c r="X149" s="243"/>
    </row>
    <row r="150" spans="1:24" s="123" customFormat="1" ht="12.75" customHeight="1">
      <c r="A150" s="230" t="s">
        <v>67</v>
      </c>
      <c r="B150" s="148"/>
      <c r="C150" s="222"/>
      <c r="D150" s="148"/>
      <c r="E150" s="149"/>
      <c r="F150" s="149"/>
      <c r="G150" s="149"/>
      <c r="H150" s="149"/>
      <c r="I150" s="149"/>
      <c r="J150" s="148"/>
      <c r="K150" s="76"/>
      <c r="L150" s="379" t="s">
        <v>39</v>
      </c>
      <c r="M150" s="378"/>
      <c r="N150" s="378"/>
      <c r="O150" s="378"/>
      <c r="P150" s="378"/>
      <c r="Q150" s="370"/>
      <c r="X150" s="243"/>
    </row>
    <row r="151" spans="1:24" s="73" customFormat="1" ht="14.25" customHeight="1">
      <c r="A151" s="227"/>
      <c r="B151" s="74"/>
      <c r="C151" s="216"/>
      <c r="D151" s="74"/>
      <c r="E151" s="75"/>
      <c r="F151" s="75"/>
      <c r="G151" s="75"/>
      <c r="H151" s="75"/>
      <c r="I151" s="75"/>
      <c r="J151" s="272" t="s">
        <v>261</v>
      </c>
      <c r="K151" s="94"/>
      <c r="L151" s="29"/>
      <c r="M151" s="22"/>
      <c r="N151" s="22"/>
      <c r="O151" s="22"/>
      <c r="P151" s="122"/>
      <c r="Q151" s="18"/>
      <c r="X151" s="243"/>
    </row>
    <row r="152" spans="1:24" s="73" customFormat="1" ht="24" customHeight="1">
      <c r="A152" s="317" t="s">
        <v>220</v>
      </c>
      <c r="B152" s="65" t="b">
        <f>IF(A152="Yes",TRUE,FALSE)</f>
        <v>0</v>
      </c>
      <c r="C152" s="219" t="b">
        <f t="shared" si="8"/>
        <v>0</v>
      </c>
      <c r="D152" s="65"/>
      <c r="E152" s="66"/>
      <c r="F152" s="66"/>
      <c r="G152" s="66"/>
      <c r="H152" s="66"/>
      <c r="I152" s="66"/>
      <c r="J152" s="261" t="s">
        <v>344</v>
      </c>
      <c r="K152" s="76">
        <v>0</v>
      </c>
      <c r="L152" s="15"/>
      <c r="M152" s="16" t="s">
        <v>79</v>
      </c>
      <c r="N152" s="17"/>
      <c r="O152" s="17"/>
      <c r="P152" s="17"/>
      <c r="Q152" s="166"/>
      <c r="X152" s="252"/>
    </row>
    <row r="153" spans="1:24" s="73" customFormat="1" ht="12.75" customHeight="1">
      <c r="A153" s="317" t="s">
        <v>220</v>
      </c>
      <c r="B153" s="65" t="b">
        <f aca="true" t="shared" si="9" ref="B153:B181">IF(A153="Yes",TRUE,FALSE)</f>
        <v>0</v>
      </c>
      <c r="C153" s="219" t="b">
        <f t="shared" si="8"/>
        <v>0</v>
      </c>
      <c r="D153" s="65"/>
      <c r="E153" s="66"/>
      <c r="F153" s="66">
        <f>IF(C153,2,0)</f>
        <v>0</v>
      </c>
      <c r="G153" s="66"/>
      <c r="H153" s="66"/>
      <c r="I153" s="66"/>
      <c r="J153" s="262" t="s">
        <v>245</v>
      </c>
      <c r="K153" s="76">
        <f>F153</f>
        <v>0</v>
      </c>
      <c r="L153" s="15"/>
      <c r="M153" s="17">
        <v>2</v>
      </c>
      <c r="N153" s="17"/>
      <c r="O153" s="17"/>
      <c r="P153" s="17"/>
      <c r="Q153" s="166"/>
      <c r="X153" s="252"/>
    </row>
    <row r="154" spans="1:24" s="73" customFormat="1" ht="13.5" customHeight="1">
      <c r="A154" s="317" t="s">
        <v>220</v>
      </c>
      <c r="B154" s="65" t="b">
        <f t="shared" si="9"/>
        <v>0</v>
      </c>
      <c r="C154" s="219" t="b">
        <f t="shared" si="8"/>
        <v>0</v>
      </c>
      <c r="D154" s="65"/>
      <c r="E154" s="66"/>
      <c r="F154" s="66">
        <f>IF(C154,1,0)</f>
        <v>0</v>
      </c>
      <c r="G154" s="66"/>
      <c r="H154" s="66"/>
      <c r="I154" s="66"/>
      <c r="J154" s="262" t="s">
        <v>246</v>
      </c>
      <c r="K154" s="76">
        <f>F154</f>
        <v>0</v>
      </c>
      <c r="L154" s="15"/>
      <c r="M154" s="17">
        <v>1</v>
      </c>
      <c r="N154" s="17"/>
      <c r="O154" s="17"/>
      <c r="P154" s="17"/>
      <c r="Q154" s="166"/>
      <c r="X154" s="243"/>
    </row>
    <row r="155" spans="1:24" s="73" customFormat="1" ht="14.25" customHeight="1">
      <c r="A155" s="317" t="s">
        <v>220</v>
      </c>
      <c r="B155" s="65" t="b">
        <f t="shared" si="9"/>
        <v>0</v>
      </c>
      <c r="C155" s="219" t="b">
        <f t="shared" si="8"/>
        <v>0</v>
      </c>
      <c r="D155" s="78"/>
      <c r="E155" s="79"/>
      <c r="F155" s="66">
        <f>IF(C155,1,0)</f>
        <v>0</v>
      </c>
      <c r="G155" s="79"/>
      <c r="H155" s="79"/>
      <c r="I155" s="79"/>
      <c r="J155" s="271" t="s">
        <v>247</v>
      </c>
      <c r="K155" s="76">
        <f>F155</f>
        <v>0</v>
      </c>
      <c r="L155" s="15"/>
      <c r="M155" s="17">
        <v>1</v>
      </c>
      <c r="N155" s="17"/>
      <c r="O155" s="17"/>
      <c r="P155" s="17"/>
      <c r="Q155" s="166"/>
      <c r="X155" s="252"/>
    </row>
    <row r="156" spans="1:24" s="73" customFormat="1" ht="15" customHeight="1">
      <c r="A156" s="317" t="s">
        <v>220</v>
      </c>
      <c r="B156" s="295" t="b">
        <f t="shared" si="9"/>
        <v>0</v>
      </c>
      <c r="C156" s="194" t="b">
        <f t="shared" si="8"/>
        <v>0</v>
      </c>
      <c r="D156" s="114"/>
      <c r="E156" s="23"/>
      <c r="F156" s="23">
        <f>IF(C156,4,0)</f>
        <v>0</v>
      </c>
      <c r="G156" s="23"/>
      <c r="H156" s="23"/>
      <c r="I156" s="23"/>
      <c r="J156" s="269" t="s">
        <v>229</v>
      </c>
      <c r="K156" s="76">
        <f aca="true" t="shared" si="10" ref="K156:K181">SUM(D156:I156)</f>
        <v>0</v>
      </c>
      <c r="L156" s="15"/>
      <c r="M156" s="17">
        <v>4</v>
      </c>
      <c r="N156" s="17"/>
      <c r="O156" s="17"/>
      <c r="P156" s="17"/>
      <c r="Q156" s="166"/>
      <c r="X156" s="243"/>
    </row>
    <row r="157" spans="1:24" s="73" customFormat="1" ht="13.5" customHeight="1">
      <c r="A157" s="323"/>
      <c r="B157" s="65"/>
      <c r="C157" s="216"/>
      <c r="D157" s="74"/>
      <c r="E157" s="75"/>
      <c r="F157" s="75"/>
      <c r="G157" s="75"/>
      <c r="H157" s="75"/>
      <c r="I157" s="75"/>
      <c r="J157" s="267" t="s">
        <v>85</v>
      </c>
      <c r="K157" s="76"/>
      <c r="L157" s="30"/>
      <c r="M157" s="26"/>
      <c r="N157" s="26"/>
      <c r="O157" s="26"/>
      <c r="P157" s="15"/>
      <c r="Q157" s="166"/>
      <c r="X157" s="243"/>
    </row>
    <row r="158" spans="1:24" s="73" customFormat="1" ht="12.75" customHeight="1">
      <c r="A158" s="317" t="s">
        <v>220</v>
      </c>
      <c r="B158" s="65" t="b">
        <f t="shared" si="9"/>
        <v>0</v>
      </c>
      <c r="C158" s="219" t="b">
        <f t="shared" si="8"/>
        <v>0</v>
      </c>
      <c r="D158" s="65"/>
      <c r="E158" s="66"/>
      <c r="F158" s="66"/>
      <c r="G158" s="66">
        <f>IF(C158,2,0)</f>
        <v>0</v>
      </c>
      <c r="H158" s="66"/>
      <c r="I158" s="66"/>
      <c r="J158" s="262" t="s">
        <v>99</v>
      </c>
      <c r="K158" s="76">
        <f t="shared" si="10"/>
        <v>0</v>
      </c>
      <c r="L158" s="15"/>
      <c r="M158" s="17">
        <v>0</v>
      </c>
      <c r="N158" s="17">
        <v>2</v>
      </c>
      <c r="O158" s="17"/>
      <c r="P158" s="17"/>
      <c r="Q158" s="166"/>
      <c r="X158" s="252"/>
    </row>
    <row r="159" spans="1:24" s="73" customFormat="1" ht="13.5" customHeight="1">
      <c r="A159" s="317" t="s">
        <v>220</v>
      </c>
      <c r="B159" s="65" t="b">
        <f t="shared" si="9"/>
        <v>0</v>
      </c>
      <c r="C159" s="217" t="b">
        <f t="shared" si="8"/>
        <v>0</v>
      </c>
      <c r="D159" s="78"/>
      <c r="E159" s="79"/>
      <c r="F159" s="79"/>
      <c r="G159" s="79">
        <f>IF(C159,2,0)</f>
        <v>0</v>
      </c>
      <c r="H159" s="79"/>
      <c r="I159" s="79"/>
      <c r="J159" s="271" t="s">
        <v>134</v>
      </c>
      <c r="K159" s="76">
        <f t="shared" si="10"/>
        <v>0</v>
      </c>
      <c r="L159" s="15"/>
      <c r="M159" s="17">
        <v>0</v>
      </c>
      <c r="N159" s="17">
        <v>2</v>
      </c>
      <c r="O159" s="17"/>
      <c r="P159" s="17"/>
      <c r="Q159" s="166"/>
      <c r="X159" s="252"/>
    </row>
    <row r="160" spans="1:24" s="73" customFormat="1" ht="13.5" customHeight="1">
      <c r="A160" s="320"/>
      <c r="B160" s="296">
        <f>IF(A160&gt;0,(LOOKUP(A160,$V$9:$V$13,$U$9:$U$13)),0)</f>
        <v>0</v>
      </c>
      <c r="C160" s="217">
        <f>IF(B160=5,1,A160)</f>
        <v>0</v>
      </c>
      <c r="D160" s="114"/>
      <c r="E160" s="23"/>
      <c r="F160" s="23">
        <f>C160</f>
        <v>0</v>
      </c>
      <c r="G160" s="23">
        <f>C160</f>
        <v>0</v>
      </c>
      <c r="H160" s="23"/>
      <c r="I160" s="23"/>
      <c r="J160" s="270" t="s">
        <v>12</v>
      </c>
      <c r="K160" s="76">
        <f t="shared" si="10"/>
        <v>0</v>
      </c>
      <c r="L160" s="15"/>
      <c r="M160" s="17">
        <v>1</v>
      </c>
      <c r="N160" s="17">
        <v>1</v>
      </c>
      <c r="O160" s="17"/>
      <c r="P160" s="17"/>
      <c r="Q160" s="166"/>
      <c r="X160" s="252"/>
    </row>
    <row r="161" spans="1:24" s="73" customFormat="1" ht="24" customHeight="1">
      <c r="A161" s="317" t="s">
        <v>220</v>
      </c>
      <c r="B161" s="295" t="b">
        <f t="shared" si="9"/>
        <v>0</v>
      </c>
      <c r="C161" s="194" t="b">
        <f t="shared" si="8"/>
        <v>0</v>
      </c>
      <c r="D161" s="114"/>
      <c r="E161" s="23">
        <f>IF(C161,1,0)</f>
        <v>0</v>
      </c>
      <c r="F161" s="23"/>
      <c r="G161" s="23"/>
      <c r="H161" s="23"/>
      <c r="I161" s="23"/>
      <c r="J161" s="275" t="s">
        <v>239</v>
      </c>
      <c r="K161" s="76">
        <f t="shared" si="10"/>
        <v>0</v>
      </c>
      <c r="L161" s="15">
        <v>1</v>
      </c>
      <c r="M161" s="17"/>
      <c r="N161" s="17"/>
      <c r="O161" s="17"/>
      <c r="P161" s="17"/>
      <c r="Q161" s="166"/>
      <c r="X161" s="252"/>
    </row>
    <row r="162" spans="1:24" s="73" customFormat="1" ht="12.75">
      <c r="A162" s="323"/>
      <c r="B162" s="65"/>
      <c r="C162" s="216"/>
      <c r="D162" s="74"/>
      <c r="E162" s="75"/>
      <c r="F162" s="75"/>
      <c r="G162" s="75"/>
      <c r="H162" s="75"/>
      <c r="I162" s="75"/>
      <c r="J162" s="267" t="s">
        <v>151</v>
      </c>
      <c r="K162" s="76"/>
      <c r="L162" s="30"/>
      <c r="M162" s="26"/>
      <c r="N162" s="26"/>
      <c r="O162" s="26"/>
      <c r="P162" s="15"/>
      <c r="Q162" s="166"/>
      <c r="X162" s="243"/>
    </row>
    <row r="163" spans="1:24" s="73" customFormat="1" ht="12.75">
      <c r="A163" s="317" t="s">
        <v>220</v>
      </c>
      <c r="B163" s="65" t="b">
        <f t="shared" si="9"/>
        <v>0</v>
      </c>
      <c r="C163" s="219" t="b">
        <f t="shared" si="8"/>
        <v>0</v>
      </c>
      <c r="D163" s="65"/>
      <c r="E163" s="66"/>
      <c r="F163" s="66">
        <f>IF(C163,1,0)</f>
        <v>0</v>
      </c>
      <c r="G163" s="66"/>
      <c r="H163" s="66"/>
      <c r="I163" s="66"/>
      <c r="J163" s="262" t="s">
        <v>118</v>
      </c>
      <c r="K163" s="76">
        <f>F163</f>
        <v>0</v>
      </c>
      <c r="L163" s="15"/>
      <c r="M163" s="17">
        <v>1</v>
      </c>
      <c r="N163" s="17"/>
      <c r="O163" s="17"/>
      <c r="P163" s="17"/>
      <c r="Q163" s="166"/>
      <c r="X163" s="252"/>
    </row>
    <row r="164" spans="1:24" s="73" customFormat="1" ht="12.75">
      <c r="A164" s="317" t="s">
        <v>220</v>
      </c>
      <c r="B164" s="65" t="b">
        <f t="shared" si="9"/>
        <v>0</v>
      </c>
      <c r="C164" s="219" t="b">
        <f t="shared" si="8"/>
        <v>0</v>
      </c>
      <c r="D164" s="65"/>
      <c r="E164" s="66"/>
      <c r="F164" s="66">
        <f>IF(C164,1,0)</f>
        <v>0</v>
      </c>
      <c r="G164" s="66"/>
      <c r="H164" s="66"/>
      <c r="I164" s="66"/>
      <c r="J164" s="262" t="s">
        <v>93</v>
      </c>
      <c r="K164" s="76">
        <f t="shared" si="10"/>
        <v>0</v>
      </c>
      <c r="L164" s="15"/>
      <c r="M164" s="17">
        <v>1</v>
      </c>
      <c r="N164" s="17"/>
      <c r="O164" s="17"/>
      <c r="P164" s="17"/>
      <c r="Q164" s="166"/>
      <c r="X164" s="252"/>
    </row>
    <row r="165" spans="1:24" s="73" customFormat="1" ht="12.75">
      <c r="A165" s="317" t="s">
        <v>220</v>
      </c>
      <c r="B165" s="65" t="b">
        <f t="shared" si="9"/>
        <v>0</v>
      </c>
      <c r="C165" s="219" t="b">
        <f t="shared" si="8"/>
        <v>0</v>
      </c>
      <c r="D165" s="65"/>
      <c r="E165" s="66"/>
      <c r="F165" s="66">
        <f>IF(C165,1,0)</f>
        <v>0</v>
      </c>
      <c r="G165" s="66"/>
      <c r="H165" s="66"/>
      <c r="I165" s="66"/>
      <c r="J165" s="262" t="s">
        <v>75</v>
      </c>
      <c r="K165" s="76">
        <f t="shared" si="10"/>
        <v>0</v>
      </c>
      <c r="L165" s="15"/>
      <c r="M165" s="17">
        <v>1</v>
      </c>
      <c r="N165" s="17"/>
      <c r="O165" s="17"/>
      <c r="P165" s="17"/>
      <c r="Q165" s="166"/>
      <c r="X165" s="252"/>
    </row>
    <row r="166" spans="1:24" s="73" customFormat="1" ht="12.75">
      <c r="A166" s="317" t="s">
        <v>220</v>
      </c>
      <c r="B166" s="65" t="b">
        <f t="shared" si="9"/>
        <v>0</v>
      </c>
      <c r="C166" s="219" t="b">
        <f t="shared" si="8"/>
        <v>0</v>
      </c>
      <c r="D166" s="65"/>
      <c r="E166" s="66"/>
      <c r="F166" s="66">
        <f>IF(C166,1,0)</f>
        <v>0</v>
      </c>
      <c r="G166" s="66"/>
      <c r="H166" s="66"/>
      <c r="I166" s="66"/>
      <c r="J166" s="280" t="s">
        <v>250</v>
      </c>
      <c r="K166" s="76">
        <f t="shared" si="10"/>
        <v>0</v>
      </c>
      <c r="L166" s="137"/>
      <c r="M166" s="25">
        <v>1</v>
      </c>
      <c r="N166" s="25"/>
      <c r="O166" s="25"/>
      <c r="P166" s="25"/>
      <c r="Q166" s="315"/>
      <c r="X166" s="246"/>
    </row>
    <row r="167" spans="1:24" s="73" customFormat="1" ht="12.75" customHeight="1">
      <c r="A167" s="317" t="s">
        <v>220</v>
      </c>
      <c r="B167" s="295" t="b">
        <f t="shared" si="9"/>
        <v>0</v>
      </c>
      <c r="C167" s="194" t="b">
        <f t="shared" si="8"/>
        <v>0</v>
      </c>
      <c r="D167" s="114"/>
      <c r="E167" s="23"/>
      <c r="F167" s="23"/>
      <c r="G167" s="23">
        <f>IF(C167,1,0)</f>
        <v>0</v>
      </c>
      <c r="H167" s="23"/>
      <c r="I167" s="23"/>
      <c r="J167" s="270" t="s">
        <v>13</v>
      </c>
      <c r="K167" s="76">
        <f t="shared" si="10"/>
        <v>0</v>
      </c>
      <c r="L167" s="15"/>
      <c r="M167" s="17"/>
      <c r="N167" s="17">
        <v>1</v>
      </c>
      <c r="O167" s="17"/>
      <c r="P167" s="17"/>
      <c r="Q167" s="166"/>
      <c r="X167" s="252"/>
    </row>
    <row r="168" spans="1:24" s="73" customFormat="1" ht="12" customHeight="1">
      <c r="A168" s="317" t="s">
        <v>220</v>
      </c>
      <c r="B168" s="114" t="b">
        <f t="shared" si="9"/>
        <v>0</v>
      </c>
      <c r="C168" s="194" t="b">
        <f t="shared" si="8"/>
        <v>0</v>
      </c>
      <c r="D168" s="114"/>
      <c r="E168" s="23"/>
      <c r="F168" s="23"/>
      <c r="G168" s="23">
        <f>IF(C168,1,0)</f>
        <v>0</v>
      </c>
      <c r="H168" s="23"/>
      <c r="I168" s="23"/>
      <c r="J168" s="275" t="s">
        <v>179</v>
      </c>
      <c r="K168" s="150">
        <f t="shared" si="10"/>
        <v>0</v>
      </c>
      <c r="L168" s="15"/>
      <c r="M168" s="17"/>
      <c r="N168" s="17">
        <v>1</v>
      </c>
      <c r="O168" s="17"/>
      <c r="P168" s="17"/>
      <c r="Q168" s="166"/>
      <c r="X168" s="243"/>
    </row>
    <row r="169" spans="1:24" s="73" customFormat="1" ht="12.75">
      <c r="A169" s="323"/>
      <c r="B169" s="74"/>
      <c r="C169" s="216"/>
      <c r="D169" s="74"/>
      <c r="E169" s="75"/>
      <c r="F169" s="75"/>
      <c r="G169" s="75"/>
      <c r="H169" s="75"/>
      <c r="I169" s="75"/>
      <c r="J169" s="267" t="s">
        <v>9</v>
      </c>
      <c r="K169" s="150"/>
      <c r="L169" s="30"/>
      <c r="M169" s="26"/>
      <c r="N169" s="26"/>
      <c r="O169" s="26"/>
      <c r="P169" s="15"/>
      <c r="Q169" s="166"/>
      <c r="X169" s="243"/>
    </row>
    <row r="170" spans="1:24" s="73" customFormat="1" ht="12.75">
      <c r="A170" s="320"/>
      <c r="B170" s="295">
        <f>IF(A170&gt;0,(LOOKUP(A170,$V$9:$V$13,$U$9:$U$13)),0)</f>
        <v>0</v>
      </c>
      <c r="C170" s="194">
        <f>IF(B170=5,1,A170)</f>
        <v>0</v>
      </c>
      <c r="D170" s="56"/>
      <c r="E170" s="56"/>
      <c r="F170" s="56"/>
      <c r="G170" s="56"/>
      <c r="H170" s="56">
        <f>C170</f>
        <v>0</v>
      </c>
      <c r="I170" s="56"/>
      <c r="J170" s="262" t="s">
        <v>194</v>
      </c>
      <c r="K170" s="150">
        <f t="shared" si="10"/>
        <v>0</v>
      </c>
      <c r="L170" s="15"/>
      <c r="M170" s="17"/>
      <c r="N170" s="17">
        <v>1</v>
      </c>
      <c r="O170" s="17"/>
      <c r="P170" s="17"/>
      <c r="Q170" s="166"/>
      <c r="X170" s="247"/>
    </row>
    <row r="171" spans="1:24" s="73" customFormat="1" ht="12.75">
      <c r="A171" s="320"/>
      <c r="B171" s="295">
        <f>IF(A171&gt;0,(LOOKUP(A171,$V$9:$V$13,$U$9:$U$13)),0)</f>
        <v>0</v>
      </c>
      <c r="C171" s="194">
        <f>IF(B171=5,1,A171)</f>
        <v>0</v>
      </c>
      <c r="D171" s="56"/>
      <c r="E171" s="56"/>
      <c r="F171" s="56"/>
      <c r="G171" s="56"/>
      <c r="H171" s="56">
        <f>C171</f>
        <v>0</v>
      </c>
      <c r="I171" s="56"/>
      <c r="J171" s="262" t="s">
        <v>57</v>
      </c>
      <c r="K171" s="150">
        <f t="shared" si="10"/>
        <v>0</v>
      </c>
      <c r="L171" s="15"/>
      <c r="M171" s="17"/>
      <c r="N171" s="17">
        <v>1</v>
      </c>
      <c r="O171" s="17"/>
      <c r="P171" s="17"/>
      <c r="Q171" s="166"/>
      <c r="X171" s="247"/>
    </row>
    <row r="172" spans="1:24" s="73" customFormat="1" ht="13.5" customHeight="1">
      <c r="A172" s="317" t="s">
        <v>220</v>
      </c>
      <c r="B172" s="78" t="b">
        <f t="shared" si="9"/>
        <v>0</v>
      </c>
      <c r="C172" s="217" t="b">
        <f t="shared" si="8"/>
        <v>0</v>
      </c>
      <c r="D172" s="78"/>
      <c r="E172" s="79"/>
      <c r="F172" s="79"/>
      <c r="G172" s="79">
        <f>IF(C172,1,0)</f>
        <v>0</v>
      </c>
      <c r="H172" s="79"/>
      <c r="I172" s="79"/>
      <c r="J172" s="271" t="s">
        <v>195</v>
      </c>
      <c r="K172" s="150">
        <f t="shared" si="10"/>
        <v>0</v>
      </c>
      <c r="L172" s="15"/>
      <c r="M172" s="17"/>
      <c r="N172" s="17">
        <v>1</v>
      </c>
      <c r="O172" s="17"/>
      <c r="P172" s="17"/>
      <c r="Q172" s="166"/>
      <c r="X172" s="247"/>
    </row>
    <row r="173" spans="1:24" s="73" customFormat="1" ht="13.5" customHeight="1">
      <c r="A173" s="323"/>
      <c r="B173" s="74"/>
      <c r="C173" s="216"/>
      <c r="D173" s="74"/>
      <c r="E173" s="75"/>
      <c r="F173" s="75"/>
      <c r="G173" s="75"/>
      <c r="H173" s="75"/>
      <c r="I173" s="75"/>
      <c r="J173" s="272" t="s">
        <v>10</v>
      </c>
      <c r="K173" s="150"/>
      <c r="L173" s="30"/>
      <c r="M173" s="26"/>
      <c r="N173" s="26"/>
      <c r="O173" s="26"/>
      <c r="P173" s="15"/>
      <c r="Q173" s="166"/>
      <c r="X173" s="247"/>
    </row>
    <row r="174" spans="1:24" s="73" customFormat="1" ht="12" customHeight="1">
      <c r="A174" s="317" t="s">
        <v>220</v>
      </c>
      <c r="B174" s="65" t="b">
        <f t="shared" si="9"/>
        <v>0</v>
      </c>
      <c r="C174" s="219" t="b">
        <f t="shared" si="8"/>
        <v>0</v>
      </c>
      <c r="D174" s="65"/>
      <c r="E174" s="66"/>
      <c r="F174" s="66">
        <f>IF(C174,1,0)</f>
        <v>0</v>
      </c>
      <c r="G174" s="66"/>
      <c r="H174" s="66"/>
      <c r="I174" s="66"/>
      <c r="J174" s="138" t="s">
        <v>196</v>
      </c>
      <c r="K174" s="150">
        <f t="shared" si="10"/>
        <v>0</v>
      </c>
      <c r="L174" s="15"/>
      <c r="M174" s="17">
        <v>1</v>
      </c>
      <c r="N174" s="17"/>
      <c r="O174" s="17"/>
      <c r="P174" s="17"/>
      <c r="Q174" s="166"/>
      <c r="X174" s="247"/>
    </row>
    <row r="175" spans="1:24" s="73" customFormat="1" ht="12.75" customHeight="1">
      <c r="A175" s="317" t="s">
        <v>220</v>
      </c>
      <c r="B175" s="78" t="b">
        <f t="shared" si="9"/>
        <v>0</v>
      </c>
      <c r="C175" s="217" t="b">
        <f t="shared" si="8"/>
        <v>0</v>
      </c>
      <c r="D175" s="78"/>
      <c r="E175" s="79"/>
      <c r="F175" s="79">
        <f>IF(C175,1,0)</f>
        <v>0</v>
      </c>
      <c r="G175" s="79"/>
      <c r="H175" s="79"/>
      <c r="I175" s="79"/>
      <c r="J175" s="139" t="s">
        <v>197</v>
      </c>
      <c r="K175" s="150">
        <f t="shared" si="10"/>
        <v>0</v>
      </c>
      <c r="L175" s="15"/>
      <c r="M175" s="17">
        <v>1</v>
      </c>
      <c r="N175" s="17"/>
      <c r="O175" s="17"/>
      <c r="P175" s="17"/>
      <c r="Q175" s="166"/>
      <c r="X175" s="247"/>
    </row>
    <row r="176" spans="1:24" s="73" customFormat="1" ht="15" customHeight="1">
      <c r="A176" s="323"/>
      <c r="B176" s="74"/>
      <c r="C176" s="216"/>
      <c r="D176" s="74"/>
      <c r="E176" s="75"/>
      <c r="F176" s="75"/>
      <c r="G176" s="75"/>
      <c r="H176" s="75"/>
      <c r="I176" s="75"/>
      <c r="J176" s="272" t="s">
        <v>11</v>
      </c>
      <c r="K176" s="150"/>
      <c r="L176" s="30"/>
      <c r="M176" s="26"/>
      <c r="N176" s="26"/>
      <c r="O176" s="26"/>
      <c r="P176" s="15"/>
      <c r="Q176" s="166"/>
      <c r="X176" s="243"/>
    </row>
    <row r="177" spans="1:24" s="73" customFormat="1" ht="12.75" customHeight="1">
      <c r="A177" s="317" t="s">
        <v>220</v>
      </c>
      <c r="B177" s="65" t="b">
        <f t="shared" si="9"/>
        <v>0</v>
      </c>
      <c r="C177" s="219" t="b">
        <f>IF(B178,FALSE,B177)</f>
        <v>0</v>
      </c>
      <c r="D177" s="65"/>
      <c r="E177" s="66"/>
      <c r="F177" s="66"/>
      <c r="G177" s="66">
        <f>IF(C177,2,0)</f>
        <v>0</v>
      </c>
      <c r="H177" s="66"/>
      <c r="I177" s="66"/>
      <c r="J177" s="138" t="s">
        <v>4</v>
      </c>
      <c r="K177" s="150">
        <f t="shared" si="10"/>
        <v>0</v>
      </c>
      <c r="L177" s="15"/>
      <c r="M177" s="17"/>
      <c r="N177" s="17">
        <v>2</v>
      </c>
      <c r="O177" s="17"/>
      <c r="P177" s="17"/>
      <c r="Q177" s="166"/>
      <c r="X177" s="252"/>
    </row>
    <row r="178" spans="1:24" s="73" customFormat="1" ht="12.75" customHeight="1">
      <c r="A178" s="317" t="s">
        <v>220</v>
      </c>
      <c r="B178" s="78" t="b">
        <f t="shared" si="9"/>
        <v>0</v>
      </c>
      <c r="C178" s="217" t="b">
        <f t="shared" si="8"/>
        <v>0</v>
      </c>
      <c r="D178" s="78"/>
      <c r="E178" s="79"/>
      <c r="F178" s="79">
        <f>IF(C178,1,0)</f>
        <v>0</v>
      </c>
      <c r="G178" s="79">
        <f>IF(C178,2,0)</f>
        <v>0</v>
      </c>
      <c r="H178" s="79"/>
      <c r="I178" s="79"/>
      <c r="J178" s="139" t="s">
        <v>98</v>
      </c>
      <c r="K178" s="150">
        <f t="shared" si="10"/>
        <v>0</v>
      </c>
      <c r="L178" s="15"/>
      <c r="M178" s="17">
        <v>1</v>
      </c>
      <c r="N178" s="17">
        <v>2</v>
      </c>
      <c r="O178" s="17"/>
      <c r="P178" s="17"/>
      <c r="Q178" s="166"/>
      <c r="X178" s="252"/>
    </row>
    <row r="179" spans="1:24" s="73" customFormat="1" ht="12.75">
      <c r="A179" s="323"/>
      <c r="B179" s="74"/>
      <c r="C179" s="216"/>
      <c r="D179" s="74"/>
      <c r="E179" s="75"/>
      <c r="F179" s="75"/>
      <c r="G179" s="75"/>
      <c r="H179" s="75"/>
      <c r="I179" s="75"/>
      <c r="J179" s="272" t="s">
        <v>162</v>
      </c>
      <c r="K179" s="150"/>
      <c r="L179" s="30"/>
      <c r="M179" s="26"/>
      <c r="N179" s="26"/>
      <c r="O179" s="26"/>
      <c r="P179" s="15"/>
      <c r="Q179" s="166"/>
      <c r="X179" s="243"/>
    </row>
    <row r="180" spans="1:24" s="73" customFormat="1" ht="12.75" customHeight="1">
      <c r="A180" s="317" t="s">
        <v>220</v>
      </c>
      <c r="B180" s="65" t="b">
        <f t="shared" si="9"/>
        <v>0</v>
      </c>
      <c r="C180" s="219" t="b">
        <f t="shared" si="8"/>
        <v>0</v>
      </c>
      <c r="D180" s="65"/>
      <c r="E180" s="66"/>
      <c r="F180" s="66"/>
      <c r="G180" s="66"/>
      <c r="H180" s="66"/>
      <c r="I180" s="66"/>
      <c r="J180" s="138" t="s">
        <v>251</v>
      </c>
      <c r="K180" s="76">
        <f t="shared" si="10"/>
        <v>0</v>
      </c>
      <c r="L180" s="15"/>
      <c r="M180" s="17"/>
      <c r="N180" s="16" t="s">
        <v>79</v>
      </c>
      <c r="O180" s="17"/>
      <c r="P180" s="17"/>
      <c r="Q180" s="166"/>
      <c r="X180" s="252"/>
    </row>
    <row r="181" spans="1:24" s="73" customFormat="1" ht="13.5" customHeight="1">
      <c r="A181" s="317" t="s">
        <v>220</v>
      </c>
      <c r="B181" s="78" t="b">
        <f t="shared" si="9"/>
        <v>0</v>
      </c>
      <c r="C181" s="217" t="b">
        <f t="shared" si="8"/>
        <v>0</v>
      </c>
      <c r="D181" s="78"/>
      <c r="E181" s="79"/>
      <c r="F181" s="79"/>
      <c r="G181" s="79">
        <f>IF(C181,1,0)</f>
        <v>0</v>
      </c>
      <c r="H181" s="79"/>
      <c r="I181" s="79"/>
      <c r="J181" s="139" t="s">
        <v>238</v>
      </c>
      <c r="K181" s="76">
        <f t="shared" si="10"/>
        <v>0</v>
      </c>
      <c r="L181" s="15"/>
      <c r="M181" s="17"/>
      <c r="N181" s="17">
        <v>1</v>
      </c>
      <c r="O181" s="17"/>
      <c r="P181" s="17"/>
      <c r="Q181" s="166"/>
      <c r="X181" s="252"/>
    </row>
    <row r="182" spans="1:24" s="73" customFormat="1" ht="13.5" customHeight="1">
      <c r="A182" s="317" t="s">
        <v>220</v>
      </c>
      <c r="B182" s="114" t="b">
        <f>IF(A182="Yes",TRUE,FALSE)</f>
        <v>0</v>
      </c>
      <c r="C182" s="194" t="b">
        <f>B182</f>
        <v>0</v>
      </c>
      <c r="D182" s="114"/>
      <c r="E182" s="23"/>
      <c r="F182" s="23"/>
      <c r="G182" s="23"/>
      <c r="H182" s="23"/>
      <c r="I182" s="23"/>
      <c r="J182" s="269" t="s">
        <v>339</v>
      </c>
      <c r="K182" s="76"/>
      <c r="L182" s="15"/>
      <c r="M182" s="155"/>
      <c r="N182" s="16" t="s">
        <v>79</v>
      </c>
      <c r="O182" s="17"/>
      <c r="P182" s="17"/>
      <c r="Q182" s="166"/>
      <c r="X182" s="252"/>
    </row>
    <row r="183" spans="1:24" s="73" customFormat="1" ht="12.75">
      <c r="A183" s="228"/>
      <c r="B183" s="65"/>
      <c r="C183" s="219"/>
      <c r="D183" s="65"/>
      <c r="E183" s="66"/>
      <c r="F183" s="66"/>
      <c r="G183" s="66"/>
      <c r="H183" s="66"/>
      <c r="I183" s="66"/>
      <c r="J183" s="132" t="s">
        <v>172</v>
      </c>
      <c r="K183" s="141">
        <f>SUM(K151:K181)</f>
        <v>0</v>
      </c>
      <c r="L183" s="31"/>
      <c r="M183" s="31"/>
      <c r="N183" s="31"/>
      <c r="O183" s="31"/>
      <c r="P183" s="28"/>
      <c r="Q183" s="18"/>
      <c r="X183" s="243"/>
    </row>
    <row r="184" spans="1:24" s="123" customFormat="1" ht="12.75" customHeight="1">
      <c r="A184" s="230" t="s">
        <v>68</v>
      </c>
      <c r="B184" s="148"/>
      <c r="C184" s="222"/>
      <c r="D184" s="148"/>
      <c r="E184" s="149"/>
      <c r="F184" s="149"/>
      <c r="G184" s="149"/>
      <c r="H184" s="149"/>
      <c r="I184" s="149"/>
      <c r="J184" s="148"/>
      <c r="K184" s="76"/>
      <c r="L184" s="379" t="s">
        <v>39</v>
      </c>
      <c r="M184" s="378"/>
      <c r="N184" s="378"/>
      <c r="O184" s="378"/>
      <c r="P184" s="378"/>
      <c r="Q184" s="370"/>
      <c r="X184" s="243"/>
    </row>
    <row r="185" spans="1:24" s="73" customFormat="1" ht="12.75">
      <c r="A185" s="317" t="s">
        <v>220</v>
      </c>
      <c r="B185" s="114" t="b">
        <f>IF(A185="Yes",TRUE,FALSE)</f>
        <v>0</v>
      </c>
      <c r="C185" s="194" t="b">
        <f t="shared" si="8"/>
        <v>0</v>
      </c>
      <c r="D185" s="114"/>
      <c r="E185" s="23"/>
      <c r="F185" s="23">
        <f>IF(C185,4,0)</f>
        <v>0</v>
      </c>
      <c r="G185" s="23"/>
      <c r="H185" s="23"/>
      <c r="I185" s="23"/>
      <c r="J185" s="270" t="s">
        <v>27</v>
      </c>
      <c r="K185" s="76">
        <f>SUM(D185:I185)</f>
        <v>0</v>
      </c>
      <c r="L185" s="15"/>
      <c r="M185" s="17">
        <v>4</v>
      </c>
      <c r="N185" s="17"/>
      <c r="O185" s="17"/>
      <c r="P185" s="17"/>
      <c r="Q185" s="166"/>
      <c r="X185" s="252"/>
    </row>
    <row r="186" spans="1:24" s="73" customFormat="1" ht="12.75">
      <c r="A186" s="324"/>
      <c r="B186" s="74"/>
      <c r="C186" s="219"/>
      <c r="D186" s="65"/>
      <c r="E186" s="66"/>
      <c r="F186" s="66"/>
      <c r="G186" s="66"/>
      <c r="H186" s="66"/>
      <c r="I186" s="66"/>
      <c r="J186" s="266" t="s">
        <v>122</v>
      </c>
      <c r="K186" s="76"/>
      <c r="L186" s="30"/>
      <c r="M186" s="26"/>
      <c r="N186" s="26"/>
      <c r="O186" s="26"/>
      <c r="P186" s="15"/>
      <c r="Q186" s="166"/>
      <c r="X186" s="243"/>
    </row>
    <row r="187" spans="1:24" s="73" customFormat="1" ht="13.5" customHeight="1">
      <c r="A187" s="317" t="s">
        <v>220</v>
      </c>
      <c r="B187" s="294" t="b">
        <f>IF(A187="Yes",TRUE,FALSE)</f>
        <v>0</v>
      </c>
      <c r="C187" s="219" t="b">
        <f t="shared" si="8"/>
        <v>0</v>
      </c>
      <c r="D187" s="65"/>
      <c r="E187" s="66"/>
      <c r="F187" s="66">
        <f>IF(OR(C189,C188,C187),6,0)</f>
        <v>0</v>
      </c>
      <c r="G187" s="66"/>
      <c r="H187" s="66"/>
      <c r="I187" s="66"/>
      <c r="J187" s="262" t="s">
        <v>198</v>
      </c>
      <c r="K187" s="76">
        <f>SUM(D187:I187)</f>
        <v>0</v>
      </c>
      <c r="L187" s="15"/>
      <c r="M187" s="17">
        <v>6</v>
      </c>
      <c r="N187" s="17"/>
      <c r="O187" s="17"/>
      <c r="P187" s="17"/>
      <c r="Q187" s="166"/>
      <c r="X187" s="243"/>
    </row>
    <row r="188" spans="1:24" s="73" customFormat="1" ht="12.75">
      <c r="A188" s="317" t="s">
        <v>220</v>
      </c>
      <c r="B188" s="294" t="b">
        <f>IF(A188="Yes",TRUE,FALSE)</f>
        <v>0</v>
      </c>
      <c r="C188" s="219" t="b">
        <f t="shared" si="8"/>
        <v>0</v>
      </c>
      <c r="D188" s="65"/>
      <c r="E188" s="66"/>
      <c r="F188" s="66">
        <f>IF(OR(C189,C188),6,0)</f>
        <v>0</v>
      </c>
      <c r="G188" s="66"/>
      <c r="H188" s="66"/>
      <c r="I188" s="66"/>
      <c r="J188" s="262" t="s">
        <v>5</v>
      </c>
      <c r="K188" s="76">
        <f>SUM(D188:I188)</f>
        <v>0</v>
      </c>
      <c r="L188" s="15"/>
      <c r="M188" s="17">
        <v>6</v>
      </c>
      <c r="N188" s="17"/>
      <c r="O188" s="17"/>
      <c r="P188" s="17"/>
      <c r="Q188" s="166"/>
      <c r="X188" s="243"/>
    </row>
    <row r="189" spans="1:24" s="73" customFormat="1" ht="13.5" customHeight="1">
      <c r="A189" s="317" t="s">
        <v>220</v>
      </c>
      <c r="B189" s="292" t="b">
        <f>IF(A189="Yes",TRUE,FALSE)</f>
        <v>0</v>
      </c>
      <c r="C189" s="219" t="b">
        <f t="shared" si="8"/>
        <v>0</v>
      </c>
      <c r="D189" s="65"/>
      <c r="E189" s="66"/>
      <c r="F189" s="66">
        <f>IF(C189,6,0)</f>
        <v>0</v>
      </c>
      <c r="G189" s="66"/>
      <c r="H189" s="66"/>
      <c r="I189" s="66"/>
      <c r="J189" s="262" t="s">
        <v>6</v>
      </c>
      <c r="K189" s="76">
        <f>SUM(D189:I189)</f>
        <v>0</v>
      </c>
      <c r="L189" s="15"/>
      <c r="M189" s="17">
        <v>6</v>
      </c>
      <c r="N189" s="17"/>
      <c r="O189" s="17"/>
      <c r="P189" s="17"/>
      <c r="Q189" s="166"/>
      <c r="X189" s="243"/>
    </row>
    <row r="190" spans="1:24" s="73" customFormat="1" ht="12.75">
      <c r="A190" s="227"/>
      <c r="B190" s="74"/>
      <c r="C190" s="216"/>
      <c r="D190" s="74"/>
      <c r="E190" s="75"/>
      <c r="F190" s="75"/>
      <c r="G190" s="75"/>
      <c r="H190" s="75"/>
      <c r="I190" s="75"/>
      <c r="J190" s="151" t="s">
        <v>126</v>
      </c>
      <c r="K190" s="108">
        <f>SUM(K185:K189)</f>
        <v>0</v>
      </c>
      <c r="L190" s="31"/>
      <c r="M190" s="31"/>
      <c r="N190" s="31"/>
      <c r="O190" s="31"/>
      <c r="P190" s="28"/>
      <c r="Q190" s="18"/>
      <c r="X190" s="243"/>
    </row>
    <row r="191" spans="1:24" s="123" customFormat="1" ht="12.75" customHeight="1">
      <c r="A191" s="230" t="s">
        <v>46</v>
      </c>
      <c r="B191" s="148"/>
      <c r="C191" s="222"/>
      <c r="D191" s="148"/>
      <c r="E191" s="149"/>
      <c r="F191" s="149"/>
      <c r="G191" s="149"/>
      <c r="H191" s="149"/>
      <c r="I191" s="149"/>
      <c r="J191" s="152"/>
      <c r="K191" s="150"/>
      <c r="L191" s="378" t="s">
        <v>39</v>
      </c>
      <c r="M191" s="378"/>
      <c r="N191" s="378"/>
      <c r="O191" s="378"/>
      <c r="P191" s="378"/>
      <c r="Q191" s="370"/>
      <c r="X191" s="246"/>
    </row>
    <row r="192" spans="1:24" s="73" customFormat="1" ht="23.25" customHeight="1">
      <c r="A192" s="317" t="s">
        <v>220</v>
      </c>
      <c r="B192" s="114" t="b">
        <f>IF(AND(A192="Yes",$B$210=FALSE),TRUE,FALSE)</f>
        <v>0</v>
      </c>
      <c r="C192" s="194" t="b">
        <f>B192</f>
        <v>0</v>
      </c>
      <c r="D192" s="114"/>
      <c r="E192" s="23"/>
      <c r="F192" s="23"/>
      <c r="G192" s="23"/>
      <c r="H192" s="23"/>
      <c r="I192" s="23"/>
      <c r="J192" s="290" t="s">
        <v>343</v>
      </c>
      <c r="K192" s="76">
        <v>0</v>
      </c>
      <c r="L192" s="15"/>
      <c r="M192" s="16" t="s">
        <v>79</v>
      </c>
      <c r="N192" s="17"/>
      <c r="O192" s="17"/>
      <c r="P192" s="17"/>
      <c r="Q192" s="166"/>
      <c r="X192" s="246"/>
    </row>
    <row r="193" spans="1:24" s="73" customFormat="1" ht="27" customHeight="1">
      <c r="A193" s="324"/>
      <c r="B193" s="74"/>
      <c r="C193" s="219"/>
      <c r="D193" s="65"/>
      <c r="E193" s="66"/>
      <c r="F193" s="66"/>
      <c r="G193" s="66"/>
      <c r="H193" s="66"/>
      <c r="I193" s="66"/>
      <c r="J193" s="281" t="s">
        <v>347</v>
      </c>
      <c r="K193" s="76"/>
      <c r="L193" s="15"/>
      <c r="M193" s="16"/>
      <c r="N193" s="17"/>
      <c r="O193" s="17"/>
      <c r="P193" s="17"/>
      <c r="Q193" s="166"/>
      <c r="X193" s="243"/>
    </row>
    <row r="194" spans="1:24" s="73" customFormat="1" ht="13.5" customHeight="1">
      <c r="A194" s="324"/>
      <c r="B194" s="65"/>
      <c r="C194" s="219"/>
      <c r="D194" s="65"/>
      <c r="E194" s="66"/>
      <c r="F194" s="66"/>
      <c r="G194" s="66"/>
      <c r="H194" s="66"/>
      <c r="I194" s="66"/>
      <c r="J194" s="261" t="s">
        <v>173</v>
      </c>
      <c r="K194" s="76"/>
      <c r="L194" s="15"/>
      <c r="M194" s="16"/>
      <c r="N194" s="17"/>
      <c r="O194" s="17"/>
      <c r="P194" s="17"/>
      <c r="Q194" s="166"/>
      <c r="X194" s="248"/>
    </row>
    <row r="195" spans="1:24" s="73" customFormat="1" ht="13.5" customHeight="1">
      <c r="A195" s="317" t="s">
        <v>220</v>
      </c>
      <c r="B195" s="114" t="b">
        <f aca="true" t="shared" si="11" ref="B195:B201">IF(AND(A195="Yes",$B$210=FALSE),TRUE,FALSE)</f>
        <v>0</v>
      </c>
      <c r="C195" s="219" t="b">
        <f>B195</f>
        <v>0</v>
      </c>
      <c r="D195" s="65"/>
      <c r="E195" s="66"/>
      <c r="F195" s="66">
        <f aca="true" t="shared" si="12" ref="F195:F200">IF(C195,1,0)</f>
        <v>0</v>
      </c>
      <c r="G195" s="66"/>
      <c r="H195" s="66"/>
      <c r="I195" s="66"/>
      <c r="J195" s="261" t="s">
        <v>199</v>
      </c>
      <c r="K195" s="76">
        <f>IF($N$3="Whole House",0,SUM(F195))</f>
        <v>0</v>
      </c>
      <c r="L195" s="15"/>
      <c r="M195" s="17">
        <v>1</v>
      </c>
      <c r="N195" s="17"/>
      <c r="O195" s="17"/>
      <c r="P195" s="17"/>
      <c r="Q195" s="166"/>
      <c r="X195" s="248"/>
    </row>
    <row r="196" spans="1:24" s="73" customFormat="1" ht="13.5" customHeight="1">
      <c r="A196" s="317" t="s">
        <v>220</v>
      </c>
      <c r="B196" s="114" t="b">
        <f t="shared" si="11"/>
        <v>0</v>
      </c>
      <c r="C196" s="219" t="b">
        <f aca="true" t="shared" si="13" ref="C196:C208">B196</f>
        <v>0</v>
      </c>
      <c r="D196" s="65"/>
      <c r="E196" s="66"/>
      <c r="F196" s="66">
        <f t="shared" si="12"/>
        <v>0</v>
      </c>
      <c r="G196" s="66"/>
      <c r="H196" s="66"/>
      <c r="I196" s="66"/>
      <c r="J196" s="261" t="s">
        <v>200</v>
      </c>
      <c r="K196" s="76">
        <f aca="true" t="shared" si="14" ref="K196:K208">IF($N$3="Whole House",0,SUM(F196))</f>
        <v>0</v>
      </c>
      <c r="L196" s="15"/>
      <c r="M196" s="17">
        <v>1</v>
      </c>
      <c r="N196" s="17"/>
      <c r="O196" s="17"/>
      <c r="P196" s="17"/>
      <c r="Q196" s="166"/>
      <c r="X196" s="248"/>
    </row>
    <row r="197" spans="1:24" s="73" customFormat="1" ht="13.5" customHeight="1">
      <c r="A197" s="317" t="s">
        <v>220</v>
      </c>
      <c r="B197" s="114" t="b">
        <f t="shared" si="11"/>
        <v>0</v>
      </c>
      <c r="C197" s="219" t="b">
        <f t="shared" si="13"/>
        <v>0</v>
      </c>
      <c r="D197" s="65"/>
      <c r="E197" s="66"/>
      <c r="F197" s="66">
        <f t="shared" si="12"/>
        <v>0</v>
      </c>
      <c r="G197" s="66"/>
      <c r="H197" s="66"/>
      <c r="I197" s="66"/>
      <c r="J197" s="261" t="s">
        <v>201</v>
      </c>
      <c r="K197" s="76">
        <f t="shared" si="14"/>
        <v>0</v>
      </c>
      <c r="L197" s="15"/>
      <c r="M197" s="17">
        <v>1</v>
      </c>
      <c r="N197" s="17"/>
      <c r="O197" s="17"/>
      <c r="P197" s="17"/>
      <c r="Q197" s="166"/>
      <c r="X197" s="248"/>
    </row>
    <row r="198" spans="1:24" s="73" customFormat="1" ht="13.5" customHeight="1">
      <c r="A198" s="317" t="s">
        <v>220</v>
      </c>
      <c r="B198" s="114" t="b">
        <f t="shared" si="11"/>
        <v>0</v>
      </c>
      <c r="C198" s="219" t="b">
        <f t="shared" si="13"/>
        <v>0</v>
      </c>
      <c r="D198" s="65"/>
      <c r="E198" s="66"/>
      <c r="F198" s="66">
        <f t="shared" si="12"/>
        <v>0</v>
      </c>
      <c r="G198" s="66"/>
      <c r="H198" s="66"/>
      <c r="I198" s="66"/>
      <c r="J198" s="261" t="s">
        <v>202</v>
      </c>
      <c r="K198" s="76">
        <f t="shared" si="14"/>
        <v>0</v>
      </c>
      <c r="L198" s="15"/>
      <c r="M198" s="17">
        <v>1</v>
      </c>
      <c r="N198" s="17"/>
      <c r="O198" s="17"/>
      <c r="P198" s="17"/>
      <c r="Q198" s="166"/>
      <c r="X198" s="248"/>
    </row>
    <row r="199" spans="1:24" s="73" customFormat="1" ht="13.5" customHeight="1">
      <c r="A199" s="317" t="s">
        <v>220</v>
      </c>
      <c r="B199" s="114" t="b">
        <f t="shared" si="11"/>
        <v>0</v>
      </c>
      <c r="C199" s="219" t="b">
        <f t="shared" si="13"/>
        <v>0</v>
      </c>
      <c r="D199" s="65"/>
      <c r="E199" s="66"/>
      <c r="F199" s="66">
        <f t="shared" si="12"/>
        <v>0</v>
      </c>
      <c r="G199" s="66"/>
      <c r="H199" s="66"/>
      <c r="I199" s="66"/>
      <c r="J199" s="261" t="s">
        <v>203</v>
      </c>
      <c r="K199" s="76">
        <f t="shared" si="14"/>
        <v>0</v>
      </c>
      <c r="L199" s="15"/>
      <c r="M199" s="17">
        <v>1</v>
      </c>
      <c r="N199" s="17"/>
      <c r="O199" s="17"/>
      <c r="P199" s="17"/>
      <c r="Q199" s="166"/>
      <c r="X199" s="248"/>
    </row>
    <row r="200" spans="1:24" s="73" customFormat="1" ht="13.5" customHeight="1">
      <c r="A200" s="317" t="s">
        <v>220</v>
      </c>
      <c r="B200" s="114" t="b">
        <f t="shared" si="11"/>
        <v>0</v>
      </c>
      <c r="C200" s="219" t="b">
        <f t="shared" si="13"/>
        <v>0</v>
      </c>
      <c r="D200" s="65"/>
      <c r="E200" s="66"/>
      <c r="F200" s="66">
        <f t="shared" si="12"/>
        <v>0</v>
      </c>
      <c r="G200" s="66"/>
      <c r="H200" s="66"/>
      <c r="I200" s="66"/>
      <c r="J200" s="261" t="s">
        <v>253</v>
      </c>
      <c r="K200" s="76">
        <f t="shared" si="14"/>
        <v>0</v>
      </c>
      <c r="L200" s="15"/>
      <c r="M200" s="17">
        <v>1</v>
      </c>
      <c r="N200" s="17"/>
      <c r="O200" s="17"/>
      <c r="P200" s="17"/>
      <c r="Q200" s="166"/>
      <c r="X200" s="248"/>
    </row>
    <row r="201" spans="1:24" s="73" customFormat="1" ht="13.5" customHeight="1">
      <c r="A201" s="317" t="s">
        <v>220</v>
      </c>
      <c r="B201" s="114" t="b">
        <f t="shared" si="11"/>
        <v>0</v>
      </c>
      <c r="C201" s="219" t="b">
        <f>IF(AND(SUM(F195:F200)&lt;6,B201),TRUE,FALSE)</f>
        <v>0</v>
      </c>
      <c r="D201" s="65"/>
      <c r="E201" s="66"/>
      <c r="F201" s="66">
        <f>IF(C201,1,0)</f>
        <v>0</v>
      </c>
      <c r="G201" s="66"/>
      <c r="H201" s="66"/>
      <c r="I201" s="66"/>
      <c r="J201" s="261" t="s">
        <v>252</v>
      </c>
      <c r="K201" s="76">
        <f t="shared" si="14"/>
        <v>0</v>
      </c>
      <c r="L201" s="15"/>
      <c r="M201" s="17">
        <v>1</v>
      </c>
      <c r="N201" s="17"/>
      <c r="O201" s="17"/>
      <c r="P201" s="17"/>
      <c r="Q201" s="166"/>
      <c r="X201" s="248"/>
    </row>
    <row r="202" spans="1:24" s="73" customFormat="1" ht="13.5" customHeight="1">
      <c r="A202" s="325"/>
      <c r="B202" s="65"/>
      <c r="C202" s="219"/>
      <c r="D202" s="65"/>
      <c r="E202" s="66"/>
      <c r="F202" s="66"/>
      <c r="G202" s="66"/>
      <c r="H202" s="66"/>
      <c r="I202" s="66"/>
      <c r="J202" s="261" t="s">
        <v>174</v>
      </c>
      <c r="K202" s="76"/>
      <c r="L202" s="15"/>
      <c r="M202" s="17"/>
      <c r="N202" s="17"/>
      <c r="O202" s="17"/>
      <c r="P202" s="17"/>
      <c r="Q202" s="166"/>
      <c r="X202" s="248"/>
    </row>
    <row r="203" spans="1:24" s="73" customFormat="1" ht="13.5" customHeight="1">
      <c r="A203" s="317" t="s">
        <v>220</v>
      </c>
      <c r="B203" s="114" t="b">
        <f aca="true" t="shared" si="15" ref="B203:B208">IF(AND(A203="Yes",$B$210=FALSE),TRUE,FALSE)</f>
        <v>0</v>
      </c>
      <c r="C203" s="219" t="b">
        <f t="shared" si="13"/>
        <v>0</v>
      </c>
      <c r="D203" s="65"/>
      <c r="E203" s="66"/>
      <c r="F203" s="66">
        <f>IF(AND(SUM($F$195:F201)&lt;6,C203),0.5,0)</f>
        <v>0</v>
      </c>
      <c r="G203" s="66"/>
      <c r="H203" s="66"/>
      <c r="I203" s="66"/>
      <c r="J203" s="261" t="s">
        <v>204</v>
      </c>
      <c r="K203" s="76">
        <f t="shared" si="14"/>
        <v>0</v>
      </c>
      <c r="L203" s="15"/>
      <c r="M203" s="17">
        <v>0.5</v>
      </c>
      <c r="N203" s="17"/>
      <c r="O203" s="17"/>
      <c r="P203" s="17"/>
      <c r="Q203" s="166"/>
      <c r="X203" s="248"/>
    </row>
    <row r="204" spans="1:24" s="73" customFormat="1" ht="13.5" customHeight="1">
      <c r="A204" s="317" t="s">
        <v>220</v>
      </c>
      <c r="B204" s="114" t="b">
        <f t="shared" si="15"/>
        <v>0</v>
      </c>
      <c r="C204" s="219" t="b">
        <f t="shared" si="13"/>
        <v>0</v>
      </c>
      <c r="D204" s="65"/>
      <c r="E204" s="66"/>
      <c r="F204" s="66">
        <f>IF(AND(SUM($F$195:F203)&lt;6,C204),0.5,0)</f>
        <v>0</v>
      </c>
      <c r="G204" s="66"/>
      <c r="H204" s="66"/>
      <c r="I204" s="66"/>
      <c r="J204" s="261" t="s">
        <v>205</v>
      </c>
      <c r="K204" s="76">
        <f t="shared" si="14"/>
        <v>0</v>
      </c>
      <c r="L204" s="15"/>
      <c r="M204" s="17">
        <v>0.5</v>
      </c>
      <c r="N204" s="17"/>
      <c r="O204" s="17"/>
      <c r="P204" s="17"/>
      <c r="Q204" s="166"/>
      <c r="X204" s="248"/>
    </row>
    <row r="205" spans="1:24" s="73" customFormat="1" ht="13.5" customHeight="1">
      <c r="A205" s="317" t="s">
        <v>220</v>
      </c>
      <c r="B205" s="114" t="b">
        <f t="shared" si="15"/>
        <v>0</v>
      </c>
      <c r="C205" s="219" t="b">
        <f t="shared" si="13"/>
        <v>0</v>
      </c>
      <c r="D205" s="65"/>
      <c r="E205" s="66"/>
      <c r="F205" s="66">
        <f>IF(AND(SUM($F$195:F204)&lt;6,C205),0.5,0)</f>
        <v>0</v>
      </c>
      <c r="G205" s="66"/>
      <c r="H205" s="66"/>
      <c r="I205" s="66"/>
      <c r="J205" s="261" t="s">
        <v>206</v>
      </c>
      <c r="K205" s="76">
        <f t="shared" si="14"/>
        <v>0</v>
      </c>
      <c r="L205" s="15"/>
      <c r="M205" s="17">
        <v>0.5</v>
      </c>
      <c r="N205" s="17"/>
      <c r="O205" s="17"/>
      <c r="P205" s="17"/>
      <c r="Q205" s="166"/>
      <c r="X205" s="182"/>
    </row>
    <row r="206" spans="1:24" s="73" customFormat="1" ht="13.5" customHeight="1">
      <c r="A206" s="317" t="s">
        <v>220</v>
      </c>
      <c r="B206" s="114" t="b">
        <f t="shared" si="15"/>
        <v>0</v>
      </c>
      <c r="C206" s="219" t="b">
        <f t="shared" si="13"/>
        <v>0</v>
      </c>
      <c r="D206" s="65"/>
      <c r="E206" s="66"/>
      <c r="F206" s="66">
        <f>IF(AND(SUM($F$195:F205)&lt;6,C206),0.5,0)</f>
        <v>0</v>
      </c>
      <c r="G206" s="66"/>
      <c r="H206" s="66"/>
      <c r="I206" s="66"/>
      <c r="J206" s="138" t="s">
        <v>207</v>
      </c>
      <c r="K206" s="76">
        <f t="shared" si="14"/>
        <v>0</v>
      </c>
      <c r="L206" s="15"/>
      <c r="M206" s="17">
        <v>0.5</v>
      </c>
      <c r="N206" s="17"/>
      <c r="O206" s="17"/>
      <c r="P206" s="17"/>
      <c r="Q206" s="166"/>
      <c r="X206" s="182"/>
    </row>
    <row r="207" spans="1:24" s="73" customFormat="1" ht="13.5" customHeight="1">
      <c r="A207" s="317" t="s">
        <v>220</v>
      </c>
      <c r="B207" s="114" t="b">
        <f t="shared" si="15"/>
        <v>0</v>
      </c>
      <c r="C207" s="219" t="b">
        <f t="shared" si="13"/>
        <v>0</v>
      </c>
      <c r="D207" s="65"/>
      <c r="E207" s="66"/>
      <c r="F207" s="66">
        <f>IF(AND(SUM($F$195:F206)&lt;6,C207),0.5,0)</f>
        <v>0</v>
      </c>
      <c r="G207" s="66"/>
      <c r="H207" s="66"/>
      <c r="I207" s="66"/>
      <c r="J207" s="138" t="s">
        <v>257</v>
      </c>
      <c r="K207" s="76">
        <f t="shared" si="14"/>
        <v>0</v>
      </c>
      <c r="L207" s="15"/>
      <c r="M207" s="17">
        <v>0.5</v>
      </c>
      <c r="N207" s="17"/>
      <c r="O207" s="17"/>
      <c r="P207" s="17"/>
      <c r="Q207" s="166"/>
      <c r="X207" s="182"/>
    </row>
    <row r="208" spans="1:24" s="73" customFormat="1" ht="13.5" customHeight="1">
      <c r="A208" s="317" t="s">
        <v>220</v>
      </c>
      <c r="B208" s="114" t="b">
        <f t="shared" si="15"/>
        <v>0</v>
      </c>
      <c r="C208" s="219" t="b">
        <f t="shared" si="13"/>
        <v>0</v>
      </c>
      <c r="D208" s="65"/>
      <c r="E208" s="66"/>
      <c r="F208" s="66">
        <f>IF(AND(SUM($F$195:F207)&lt;6,C208),0.5,0)</f>
        <v>0</v>
      </c>
      <c r="G208" s="66"/>
      <c r="H208" s="66"/>
      <c r="I208" s="66"/>
      <c r="J208" s="138" t="s">
        <v>208</v>
      </c>
      <c r="K208" s="76">
        <f t="shared" si="14"/>
        <v>0</v>
      </c>
      <c r="L208" s="15"/>
      <c r="M208" s="17">
        <v>0.5</v>
      </c>
      <c r="N208" s="17"/>
      <c r="O208" s="17"/>
      <c r="P208" s="17"/>
      <c r="Q208" s="166"/>
      <c r="X208" s="182"/>
    </row>
    <row r="209" spans="1:24" s="73" customFormat="1" ht="15" customHeight="1">
      <c r="A209" s="323"/>
      <c r="B209" s="74">
        <f>COUNT(F195:F208)</f>
        <v>13</v>
      </c>
      <c r="C209" s="216"/>
      <c r="D209" s="74"/>
      <c r="E209" s="75"/>
      <c r="F209" s="75"/>
      <c r="G209" s="75"/>
      <c r="H209" s="75"/>
      <c r="I209" s="75"/>
      <c r="J209" s="267" t="s">
        <v>14</v>
      </c>
      <c r="K209" s="76"/>
      <c r="L209" s="15"/>
      <c r="M209" s="16"/>
      <c r="N209" s="17"/>
      <c r="O209" s="17"/>
      <c r="P209" s="17"/>
      <c r="Q209" s="166"/>
      <c r="X209" s="243"/>
    </row>
    <row r="210" spans="1:24" s="73" customFormat="1" ht="26.25" customHeight="1">
      <c r="A210" s="317" t="s">
        <v>220</v>
      </c>
      <c r="B210" s="65" t="b">
        <f>IF(A210="Yes",TRUE,FALSE)</f>
        <v>0</v>
      </c>
      <c r="C210" s="219" t="b">
        <f>B210</f>
        <v>0</v>
      </c>
      <c r="D210" s="65"/>
      <c r="E210" s="66"/>
      <c r="F210" s="66">
        <f>IF(C210,10,0)</f>
        <v>0</v>
      </c>
      <c r="G210" s="66"/>
      <c r="H210" s="66"/>
      <c r="I210" s="66"/>
      <c r="J210" s="261" t="s">
        <v>342</v>
      </c>
      <c r="K210" s="76">
        <f>F210</f>
        <v>0</v>
      </c>
      <c r="L210" s="15"/>
      <c r="M210" s="16">
        <v>10</v>
      </c>
      <c r="N210" s="17"/>
      <c r="O210" s="17"/>
      <c r="P210" s="17"/>
      <c r="Q210" s="166"/>
      <c r="X210" s="246"/>
    </row>
    <row r="211" spans="1:24" s="73" customFormat="1" ht="15" customHeight="1">
      <c r="A211" s="322"/>
      <c r="B211" s="78"/>
      <c r="C211" s="217"/>
      <c r="D211" s="78"/>
      <c r="E211" s="79"/>
      <c r="F211" s="79">
        <f>A211</f>
        <v>0</v>
      </c>
      <c r="G211" s="79"/>
      <c r="H211" s="79"/>
      <c r="I211" s="79"/>
      <c r="J211" s="271" t="s">
        <v>180</v>
      </c>
      <c r="K211" s="76">
        <f>F211</f>
        <v>0</v>
      </c>
      <c r="L211" s="15"/>
      <c r="M211" s="17" t="s">
        <v>163</v>
      </c>
      <c r="N211" s="17"/>
      <c r="O211" s="17"/>
      <c r="P211" s="17"/>
      <c r="Q211" s="166"/>
      <c r="X211" s="243"/>
    </row>
    <row r="212" spans="1:24" s="73" customFormat="1" ht="14.25" customHeight="1">
      <c r="A212" s="317" t="s">
        <v>220</v>
      </c>
      <c r="B212" s="56" t="b">
        <f>IF(A212="Yes",TRUE,FALSE)</f>
        <v>0</v>
      </c>
      <c r="C212" s="187" t="b">
        <f>B212</f>
        <v>0</v>
      </c>
      <c r="D212" s="56"/>
      <c r="E212" s="153"/>
      <c r="F212" s="153">
        <f>IF(C212,1,0)</f>
        <v>0</v>
      </c>
      <c r="G212" s="153"/>
      <c r="H212" s="153"/>
      <c r="I212" s="153"/>
      <c r="J212" s="267" t="s">
        <v>15</v>
      </c>
      <c r="K212" s="76">
        <f>F212</f>
        <v>0</v>
      </c>
      <c r="L212" s="17"/>
      <c r="M212" s="17">
        <v>1</v>
      </c>
      <c r="N212" s="17"/>
      <c r="O212" s="17"/>
      <c r="P212" s="17"/>
      <c r="Q212" s="166"/>
      <c r="X212" s="243"/>
    </row>
    <row r="213" spans="1:24" s="73" customFormat="1" ht="12.75">
      <c r="A213" s="233"/>
      <c r="B213" s="114"/>
      <c r="C213" s="194">
        <f>B213</f>
        <v>0</v>
      </c>
      <c r="D213" s="114"/>
      <c r="E213" s="23"/>
      <c r="F213" s="23"/>
      <c r="G213" s="23"/>
      <c r="H213" s="23"/>
      <c r="I213" s="23"/>
      <c r="J213" s="291" t="s">
        <v>176</v>
      </c>
      <c r="K213" s="108">
        <f>SUM(K192:K212)</f>
        <v>0</v>
      </c>
      <c r="L213" s="31"/>
      <c r="M213" s="31"/>
      <c r="N213" s="31"/>
      <c r="O213" s="31"/>
      <c r="P213" s="28"/>
      <c r="Q213" s="18"/>
      <c r="X213" s="243"/>
    </row>
    <row r="214" spans="1:24" s="123" customFormat="1" ht="12.75" customHeight="1">
      <c r="A214" s="225" t="s">
        <v>52</v>
      </c>
      <c r="B214" s="109"/>
      <c r="C214" s="220">
        <f>B214</f>
        <v>0</v>
      </c>
      <c r="D214" s="109"/>
      <c r="E214" s="110"/>
      <c r="F214" s="110"/>
      <c r="G214" s="110"/>
      <c r="H214" s="110"/>
      <c r="I214" s="110"/>
      <c r="J214" s="283"/>
      <c r="K214" s="76"/>
      <c r="L214" s="380" t="s">
        <v>39</v>
      </c>
      <c r="M214" s="381"/>
      <c r="N214" s="381"/>
      <c r="O214" s="381"/>
      <c r="P214" s="381"/>
      <c r="Q214" s="370"/>
      <c r="X214" s="243"/>
    </row>
    <row r="215" spans="1:24" s="73" customFormat="1" ht="12.75">
      <c r="A215" s="317" t="s">
        <v>220</v>
      </c>
      <c r="B215" s="114" t="b">
        <f>IF(A215="Yes",TRUE,FALSE)</f>
        <v>0</v>
      </c>
      <c r="C215" s="194" t="b">
        <f>B215</f>
        <v>0</v>
      </c>
      <c r="D215" s="114"/>
      <c r="E215" s="23"/>
      <c r="F215" s="23"/>
      <c r="G215" s="23">
        <f>IF(C215,1,0)</f>
        <v>0</v>
      </c>
      <c r="H215" s="23"/>
      <c r="I215" s="23"/>
      <c r="J215" s="270" t="s">
        <v>76</v>
      </c>
      <c r="K215" s="76">
        <f aca="true" t="shared" si="16" ref="K215:K233">SUM(D215:I215)</f>
        <v>0</v>
      </c>
      <c r="L215" s="15"/>
      <c r="M215" s="17"/>
      <c r="N215" s="17">
        <v>1</v>
      </c>
      <c r="O215" s="17"/>
      <c r="P215" s="17"/>
      <c r="Q215" s="166"/>
      <c r="X215" s="252"/>
    </row>
    <row r="216" spans="1:24" s="73" customFormat="1" ht="14.25" customHeight="1">
      <c r="A216" s="323"/>
      <c r="B216" s="74"/>
      <c r="C216" s="216"/>
      <c r="D216" s="74"/>
      <c r="E216" s="75"/>
      <c r="F216" s="75"/>
      <c r="G216" s="75"/>
      <c r="H216" s="75"/>
      <c r="I216" s="75"/>
      <c r="J216" s="267" t="s">
        <v>77</v>
      </c>
      <c r="K216" s="76"/>
      <c r="L216" s="30"/>
      <c r="M216" s="26"/>
      <c r="N216" s="26"/>
      <c r="O216" s="26"/>
      <c r="P216" s="15"/>
      <c r="Q216" s="166"/>
      <c r="X216" s="243"/>
    </row>
    <row r="217" spans="1:24" s="73" customFormat="1" ht="12.75" customHeight="1">
      <c r="A217" s="320"/>
      <c r="B217" s="65">
        <f aca="true" t="shared" si="17" ref="B217:B232">IF(A217&gt;0,(LOOKUP(A217,$V$9:$V$13,$U$9:$U$13)),0)</f>
        <v>0</v>
      </c>
      <c r="C217" s="219">
        <f>IF(B217=5,1,A217)</f>
        <v>0</v>
      </c>
      <c r="D217" s="65">
        <f>IF(C218&gt;0,C218,0)</f>
        <v>0</v>
      </c>
      <c r="E217" s="66"/>
      <c r="F217" s="66"/>
      <c r="G217" s="66">
        <f>IF(A217&gt;0,C217,D217)</f>
        <v>0</v>
      </c>
      <c r="H217" s="66"/>
      <c r="I217" s="66"/>
      <c r="J217" s="262" t="s">
        <v>86</v>
      </c>
      <c r="K217" s="76">
        <f>SUM(E217:I217)</f>
        <v>0</v>
      </c>
      <c r="L217" s="15"/>
      <c r="M217" s="17"/>
      <c r="N217" s="17">
        <v>1</v>
      </c>
      <c r="O217" s="17"/>
      <c r="P217" s="17"/>
      <c r="Q217" s="166"/>
      <c r="X217" s="252"/>
    </row>
    <row r="218" spans="1:24" s="73" customFormat="1" ht="13.5" customHeight="1">
      <c r="A218" s="320"/>
      <c r="B218" s="65">
        <f t="shared" si="17"/>
        <v>0</v>
      </c>
      <c r="C218" s="219">
        <f>IF(B218=5,1,A218)</f>
        <v>0</v>
      </c>
      <c r="D218" s="65"/>
      <c r="E218" s="66"/>
      <c r="F218" s="66"/>
      <c r="G218" s="66">
        <f>C218*2</f>
        <v>0</v>
      </c>
      <c r="H218" s="66"/>
      <c r="I218" s="66"/>
      <c r="J218" s="262" t="s">
        <v>87</v>
      </c>
      <c r="K218" s="76">
        <f t="shared" si="16"/>
        <v>0</v>
      </c>
      <c r="L218" s="15"/>
      <c r="M218" s="17"/>
      <c r="N218" s="17">
        <v>2</v>
      </c>
      <c r="O218" s="17"/>
      <c r="P218" s="17"/>
      <c r="Q218" s="166"/>
      <c r="X218" s="243"/>
    </row>
    <row r="219" spans="1:24" s="73" customFormat="1" ht="12.75">
      <c r="A219" s="320"/>
      <c r="B219" s="78">
        <f t="shared" si="17"/>
        <v>0</v>
      </c>
      <c r="C219" s="217">
        <f>IF(B219=5,1,A219)</f>
        <v>0</v>
      </c>
      <c r="D219" s="65"/>
      <c r="E219" s="66"/>
      <c r="F219" s="66"/>
      <c r="G219" s="66">
        <f>C219*2</f>
        <v>0</v>
      </c>
      <c r="H219" s="66"/>
      <c r="I219" s="66"/>
      <c r="J219" s="284" t="s">
        <v>97</v>
      </c>
      <c r="K219" s="76">
        <f t="shared" si="16"/>
        <v>0</v>
      </c>
      <c r="L219" s="15"/>
      <c r="M219" s="17"/>
      <c r="N219" s="17">
        <v>2</v>
      </c>
      <c r="O219" s="17"/>
      <c r="P219" s="17"/>
      <c r="Q219" s="166"/>
      <c r="X219" s="252"/>
    </row>
    <row r="220" spans="1:24" s="73" customFormat="1" ht="12.75">
      <c r="A220" s="320"/>
      <c r="B220" s="78">
        <f t="shared" si="17"/>
        <v>0</v>
      </c>
      <c r="C220" s="217">
        <f>IF(B220=5,1,A220)</f>
        <v>0</v>
      </c>
      <c r="D220" s="114"/>
      <c r="E220" s="23"/>
      <c r="F220" s="23"/>
      <c r="G220" s="23">
        <f>C220*2</f>
        <v>0</v>
      </c>
      <c r="H220" s="23"/>
      <c r="I220" s="23"/>
      <c r="J220" s="270" t="s">
        <v>7</v>
      </c>
      <c r="K220" s="76">
        <f t="shared" si="16"/>
        <v>0</v>
      </c>
      <c r="L220" s="15"/>
      <c r="M220" s="17"/>
      <c r="N220" s="17">
        <v>2</v>
      </c>
      <c r="O220" s="17"/>
      <c r="P220" s="17"/>
      <c r="Q220" s="166"/>
      <c r="X220" s="252"/>
    </row>
    <row r="221" spans="1:24" s="73" customFormat="1" ht="15.75" customHeight="1">
      <c r="A221" s="320"/>
      <c r="B221" s="78">
        <f t="shared" si="17"/>
        <v>0</v>
      </c>
      <c r="C221" s="217">
        <f>IF(B221=5,1,A221)</f>
        <v>0</v>
      </c>
      <c r="D221" s="114"/>
      <c r="E221" s="23"/>
      <c r="F221" s="23"/>
      <c r="G221" s="23"/>
      <c r="H221" s="23">
        <f>C221</f>
        <v>0</v>
      </c>
      <c r="I221" s="23"/>
      <c r="J221" s="270" t="s">
        <v>321</v>
      </c>
      <c r="K221" s="76">
        <f t="shared" si="16"/>
        <v>0</v>
      </c>
      <c r="L221" s="15"/>
      <c r="M221" s="17"/>
      <c r="N221" s="17"/>
      <c r="O221" s="17">
        <v>1</v>
      </c>
      <c r="P221" s="17"/>
      <c r="Q221" s="166"/>
      <c r="X221" s="243"/>
    </row>
    <row r="222" spans="1:24" s="73" customFormat="1" ht="36">
      <c r="A222" s="324"/>
      <c r="B222" s="74"/>
      <c r="C222" s="216"/>
      <c r="D222" s="74"/>
      <c r="E222" s="75"/>
      <c r="F222" s="75"/>
      <c r="G222" s="75"/>
      <c r="H222" s="75"/>
      <c r="I222" s="75"/>
      <c r="J222" s="285" t="s">
        <v>254</v>
      </c>
      <c r="K222" s="76"/>
      <c r="L222" s="30"/>
      <c r="M222" s="26"/>
      <c r="N222" s="26"/>
      <c r="O222" s="26"/>
      <c r="P222" s="15"/>
      <c r="Q222" s="166"/>
      <c r="X222" s="243"/>
    </row>
    <row r="223" spans="1:24" s="73" customFormat="1" ht="12.75">
      <c r="A223" s="320"/>
      <c r="B223" s="65">
        <f t="shared" si="17"/>
        <v>0</v>
      </c>
      <c r="C223" s="219">
        <f>IF(B223=5,1,A223)</f>
        <v>0</v>
      </c>
      <c r="D223" s="65"/>
      <c r="E223" s="66"/>
      <c r="F223" s="66"/>
      <c r="G223" s="66"/>
      <c r="H223" s="66">
        <f>C223</f>
        <v>0</v>
      </c>
      <c r="I223" s="66"/>
      <c r="J223" s="138" t="s">
        <v>231</v>
      </c>
      <c r="K223" s="76">
        <f t="shared" si="16"/>
        <v>0</v>
      </c>
      <c r="L223" s="15"/>
      <c r="M223" s="17"/>
      <c r="N223" s="17"/>
      <c r="O223" s="17">
        <v>1</v>
      </c>
      <c r="P223" s="17"/>
      <c r="Q223" s="166"/>
      <c r="X223" s="252"/>
    </row>
    <row r="224" spans="1:24" s="73" customFormat="1" ht="12.75">
      <c r="A224" s="320"/>
      <c r="B224" s="65">
        <f t="shared" si="17"/>
        <v>0</v>
      </c>
      <c r="C224" s="219">
        <f>IF(B224=5,1,A224)</f>
        <v>0</v>
      </c>
      <c r="D224" s="65"/>
      <c r="E224" s="66"/>
      <c r="F224" s="66"/>
      <c r="G224" s="66"/>
      <c r="H224" s="66">
        <f>C224</f>
        <v>0</v>
      </c>
      <c r="I224" s="66"/>
      <c r="J224" s="138" t="s">
        <v>232</v>
      </c>
      <c r="K224" s="76">
        <f t="shared" si="16"/>
        <v>0</v>
      </c>
      <c r="L224" s="15"/>
      <c r="M224" s="17"/>
      <c r="N224" s="17"/>
      <c r="O224" s="17">
        <v>1</v>
      </c>
      <c r="P224" s="17"/>
      <c r="Q224" s="166"/>
      <c r="X224" s="252"/>
    </row>
    <row r="225" spans="1:24" s="73" customFormat="1" ht="12.75">
      <c r="A225" s="320"/>
      <c r="B225" s="65">
        <f t="shared" si="17"/>
        <v>0</v>
      </c>
      <c r="C225" s="219">
        <f>IF(B225=5,1,A225)</f>
        <v>0</v>
      </c>
      <c r="D225" s="65"/>
      <c r="E225" s="66"/>
      <c r="F225" s="66"/>
      <c r="G225" s="66"/>
      <c r="H225" s="66">
        <f>C225</f>
        <v>0</v>
      </c>
      <c r="I225" s="66"/>
      <c r="J225" s="138" t="s">
        <v>233</v>
      </c>
      <c r="K225" s="76">
        <f t="shared" si="16"/>
        <v>0</v>
      </c>
      <c r="L225" s="15"/>
      <c r="M225" s="17"/>
      <c r="N225" s="17"/>
      <c r="O225" s="17">
        <v>1</v>
      </c>
      <c r="P225" s="17"/>
      <c r="Q225" s="166"/>
      <c r="X225" s="243"/>
    </row>
    <row r="226" spans="1:24" s="73" customFormat="1" ht="12.75">
      <c r="A226" s="320"/>
      <c r="B226" s="65">
        <f t="shared" si="17"/>
        <v>0</v>
      </c>
      <c r="C226" s="219">
        <f>IF(B226=5,1,A226)</f>
        <v>0</v>
      </c>
      <c r="D226" s="65"/>
      <c r="E226" s="66"/>
      <c r="F226" s="66"/>
      <c r="G226" s="66"/>
      <c r="H226" s="66">
        <f>C226</f>
        <v>0</v>
      </c>
      <c r="I226" s="66"/>
      <c r="J226" s="138" t="s">
        <v>234</v>
      </c>
      <c r="K226" s="76">
        <f t="shared" si="16"/>
        <v>0</v>
      </c>
      <c r="L226" s="15"/>
      <c r="M226" s="17"/>
      <c r="N226" s="17"/>
      <c r="O226" s="17">
        <v>1</v>
      </c>
      <c r="P226" s="17"/>
      <c r="Q226" s="166"/>
      <c r="X226" s="252"/>
    </row>
    <row r="227" spans="1:24" s="73" customFormat="1" ht="12.75">
      <c r="A227" s="320"/>
      <c r="B227" s="78">
        <f t="shared" si="17"/>
        <v>0</v>
      </c>
      <c r="C227" s="217">
        <f>IF(B227=5,1,A227)</f>
        <v>0</v>
      </c>
      <c r="D227" s="78"/>
      <c r="E227" s="79"/>
      <c r="F227" s="79"/>
      <c r="G227" s="79"/>
      <c r="H227" s="66">
        <f>C227</f>
        <v>0</v>
      </c>
      <c r="I227" s="79"/>
      <c r="J227" s="139" t="s">
        <v>235</v>
      </c>
      <c r="K227" s="76">
        <f t="shared" si="16"/>
        <v>0</v>
      </c>
      <c r="L227" s="15"/>
      <c r="M227" s="17"/>
      <c r="N227" s="17"/>
      <c r="O227" s="17">
        <v>1</v>
      </c>
      <c r="P227" s="17"/>
      <c r="Q227" s="166"/>
      <c r="X227" s="243"/>
    </row>
    <row r="228" spans="1:24" s="73" customFormat="1" ht="12.75">
      <c r="A228" s="324"/>
      <c r="B228" s="74"/>
      <c r="C228" s="216"/>
      <c r="D228" s="74"/>
      <c r="E228" s="75"/>
      <c r="F228" s="75"/>
      <c r="G228" s="75"/>
      <c r="H228" s="75"/>
      <c r="I228" s="75"/>
      <c r="J228" s="272" t="s">
        <v>236</v>
      </c>
      <c r="K228" s="76"/>
      <c r="L228" s="30"/>
      <c r="M228" s="26"/>
      <c r="N228" s="26"/>
      <c r="O228" s="309"/>
      <c r="P228" s="15"/>
      <c r="Q228" s="166"/>
      <c r="X228" s="243"/>
    </row>
    <row r="229" spans="1:24" s="73" customFormat="1" ht="12.75">
      <c r="A229" s="320"/>
      <c r="B229" s="65">
        <f t="shared" si="17"/>
        <v>0</v>
      </c>
      <c r="C229" s="219">
        <f>IF(B229=5,1,A229)</f>
        <v>0</v>
      </c>
      <c r="D229" s="65"/>
      <c r="E229" s="66"/>
      <c r="F229" s="66"/>
      <c r="G229" s="66">
        <f>C229</f>
        <v>0</v>
      </c>
      <c r="I229" s="66"/>
      <c r="J229" s="138" t="s">
        <v>88</v>
      </c>
      <c r="K229" s="76">
        <f t="shared" si="16"/>
        <v>0</v>
      </c>
      <c r="L229" s="15"/>
      <c r="M229" s="17"/>
      <c r="N229" s="30">
        <v>1</v>
      </c>
      <c r="O229" s="17"/>
      <c r="P229" s="15"/>
      <c r="Q229" s="166"/>
      <c r="X229" s="243"/>
    </row>
    <row r="230" spans="1:24" s="73" customFormat="1" ht="12.75">
      <c r="A230" s="320"/>
      <c r="B230" s="65">
        <f t="shared" si="17"/>
        <v>0</v>
      </c>
      <c r="C230" s="219">
        <f>IF(B230=5,1,A230)</f>
        <v>0</v>
      </c>
      <c r="D230" s="65"/>
      <c r="E230" s="66"/>
      <c r="F230" s="66"/>
      <c r="G230" s="66">
        <f>C230</f>
        <v>0</v>
      </c>
      <c r="I230" s="66"/>
      <c r="J230" s="138" t="s">
        <v>255</v>
      </c>
      <c r="K230" s="76">
        <f t="shared" si="16"/>
        <v>0</v>
      </c>
      <c r="L230" s="15"/>
      <c r="M230" s="17"/>
      <c r="N230" s="30">
        <v>1</v>
      </c>
      <c r="O230" s="17"/>
      <c r="P230" s="15"/>
      <c r="Q230" s="166"/>
      <c r="X230" s="243"/>
    </row>
    <row r="231" spans="1:24" s="73" customFormat="1" ht="15" customHeight="1">
      <c r="A231" s="320"/>
      <c r="B231" s="65">
        <f t="shared" si="17"/>
        <v>0</v>
      </c>
      <c r="C231" s="219">
        <f>IF(B231=5,1,A231)</f>
        <v>0</v>
      </c>
      <c r="D231" s="65"/>
      <c r="E231" s="66"/>
      <c r="F231" s="66"/>
      <c r="G231" s="66">
        <f>C231</f>
        <v>0</v>
      </c>
      <c r="I231" s="66"/>
      <c r="J231" s="138" t="s">
        <v>256</v>
      </c>
      <c r="K231" s="76">
        <f t="shared" si="16"/>
        <v>0</v>
      </c>
      <c r="L231" s="15"/>
      <c r="M231" s="17"/>
      <c r="N231" s="30">
        <v>1</v>
      </c>
      <c r="O231" s="17"/>
      <c r="P231" s="15"/>
      <c r="Q231" s="166"/>
      <c r="X231" s="243"/>
    </row>
    <row r="232" spans="1:24" s="73" customFormat="1" ht="12.75">
      <c r="A232" s="320"/>
      <c r="B232" s="78">
        <f t="shared" si="17"/>
        <v>0</v>
      </c>
      <c r="C232" s="217">
        <f>IF(B232=5,1,A232)</f>
        <v>0</v>
      </c>
      <c r="D232" s="78"/>
      <c r="E232" s="79"/>
      <c r="F232" s="79"/>
      <c r="G232" s="66">
        <f>C232</f>
        <v>0</v>
      </c>
      <c r="I232" s="79"/>
      <c r="J232" s="139" t="s">
        <v>89</v>
      </c>
      <c r="K232" s="76">
        <f t="shared" si="16"/>
        <v>0</v>
      </c>
      <c r="L232" s="15"/>
      <c r="M232" s="17"/>
      <c r="N232" s="30">
        <v>1</v>
      </c>
      <c r="O232" s="17"/>
      <c r="P232" s="15"/>
      <c r="Q232" s="166"/>
      <c r="X232" s="243"/>
    </row>
    <row r="233" spans="1:24" s="73" customFormat="1" ht="13.5" customHeight="1">
      <c r="A233" s="317" t="s">
        <v>220</v>
      </c>
      <c r="B233" s="114" t="b">
        <f>IF(A233="Yes",TRUE,FALSE)</f>
        <v>0</v>
      </c>
      <c r="C233" s="194" t="b">
        <f>B233</f>
        <v>0</v>
      </c>
      <c r="D233" s="114"/>
      <c r="E233" s="23"/>
      <c r="F233" s="23"/>
      <c r="G233" s="23">
        <f>IF(C233,3,0)</f>
        <v>0</v>
      </c>
      <c r="H233" s="23"/>
      <c r="I233" s="23"/>
      <c r="J233" s="270" t="s">
        <v>183</v>
      </c>
      <c r="K233" s="76">
        <f t="shared" si="16"/>
        <v>0</v>
      </c>
      <c r="L233" s="15"/>
      <c r="M233" s="17"/>
      <c r="N233" s="30">
        <v>3</v>
      </c>
      <c r="O233" s="17"/>
      <c r="P233" s="15"/>
      <c r="Q233" s="166"/>
      <c r="X233" s="243"/>
    </row>
    <row r="234" spans="1:24" s="73" customFormat="1" ht="12.75">
      <c r="A234" s="228"/>
      <c r="B234" s="74"/>
      <c r="C234" s="216"/>
      <c r="D234" s="74"/>
      <c r="E234" s="75"/>
      <c r="F234" s="75"/>
      <c r="G234" s="75"/>
      <c r="H234" s="75"/>
      <c r="I234" s="75"/>
      <c r="J234" s="154" t="s">
        <v>8</v>
      </c>
      <c r="K234" s="108">
        <f>SUM(K215:K233)</f>
        <v>0</v>
      </c>
      <c r="L234" s="29"/>
      <c r="M234" s="22"/>
      <c r="N234" s="22"/>
      <c r="O234" s="349"/>
      <c r="P234" s="122"/>
      <c r="Q234" s="18"/>
      <c r="X234" s="243"/>
    </row>
    <row r="235" spans="1:24" s="73" customFormat="1" ht="12.75" customHeight="1">
      <c r="A235" s="225" t="s">
        <v>53</v>
      </c>
      <c r="B235" s="109"/>
      <c r="C235" s="220"/>
      <c r="D235" s="109"/>
      <c r="E235" s="110"/>
      <c r="F235" s="110"/>
      <c r="G235" s="110"/>
      <c r="H235" s="110"/>
      <c r="I235" s="110"/>
      <c r="J235" s="61"/>
      <c r="K235" s="76"/>
      <c r="L235" s="382" t="s">
        <v>39</v>
      </c>
      <c r="M235" s="382"/>
      <c r="N235" s="382"/>
      <c r="O235" s="382"/>
      <c r="P235" s="380"/>
      <c r="Q235" s="370"/>
      <c r="X235" s="243"/>
    </row>
    <row r="236" spans="1:24" s="73" customFormat="1" ht="60" customHeight="1">
      <c r="A236" s="320"/>
      <c r="B236" s="296">
        <f>IF(A236&gt;0,(LOOKUP(A236,$W$15:$W$18,$T$15:$T$18)),0)</f>
        <v>0</v>
      </c>
      <c r="C236" s="194">
        <f>IF(B236=4,0.75,A236)</f>
        <v>0</v>
      </c>
      <c r="D236" s="74"/>
      <c r="E236" s="75"/>
      <c r="F236" s="75"/>
      <c r="G236" s="75"/>
      <c r="H236" s="75">
        <f>B236</f>
        <v>0</v>
      </c>
      <c r="I236" s="75"/>
      <c r="J236" s="285" t="s">
        <v>322</v>
      </c>
      <c r="K236" s="76">
        <f>H236</f>
        <v>0</v>
      </c>
      <c r="L236" s="17"/>
      <c r="M236" s="17"/>
      <c r="N236" s="17"/>
      <c r="O236" s="17">
        <v>4</v>
      </c>
      <c r="P236" s="17"/>
      <c r="Q236" s="166"/>
      <c r="X236" s="252"/>
    </row>
    <row r="237" spans="1:24" s="73" customFormat="1" ht="12.75">
      <c r="A237" s="320"/>
      <c r="B237" s="295">
        <f>IF(A237&gt;0,(LOOKUP(A237,$V$9:$V$13,$U$9:$U$13)),0)</f>
        <v>0</v>
      </c>
      <c r="C237" s="194">
        <f>IF(B237=5,1,A237)</f>
        <v>0</v>
      </c>
      <c r="D237" s="114"/>
      <c r="E237" s="23"/>
      <c r="F237" s="23">
        <f>C237</f>
        <v>0</v>
      </c>
      <c r="G237" s="23"/>
      <c r="H237" s="23"/>
      <c r="I237" s="23"/>
      <c r="J237" s="270" t="s">
        <v>103</v>
      </c>
      <c r="K237" s="76">
        <f>SUM(D237:I237)</f>
        <v>0</v>
      </c>
      <c r="L237" s="15"/>
      <c r="M237" s="17">
        <v>1</v>
      </c>
      <c r="N237" s="17"/>
      <c r="O237" s="17"/>
      <c r="P237" s="17"/>
      <c r="Q237" s="166"/>
      <c r="X237" s="252"/>
    </row>
    <row r="238" spans="1:24" s="73" customFormat="1" ht="24" customHeight="1">
      <c r="A238" s="320"/>
      <c r="B238" s="78">
        <f>IF(A238&gt;0,(LOOKUP(A238,$W$11:$W$13,$U$11:$U$13)),0)</f>
        <v>0</v>
      </c>
      <c r="C238" s="217">
        <f>IF(B238=5,1,A238)</f>
        <v>0</v>
      </c>
      <c r="D238" s="114"/>
      <c r="E238" s="23"/>
      <c r="F238" s="23"/>
      <c r="G238" s="23">
        <f>C238*2</f>
        <v>0</v>
      </c>
      <c r="H238" s="23"/>
      <c r="I238" s="23"/>
      <c r="J238" s="275" t="s">
        <v>243</v>
      </c>
      <c r="K238" s="76">
        <f>SUM(D238:I238)</f>
        <v>0</v>
      </c>
      <c r="L238" s="15"/>
      <c r="M238" s="17"/>
      <c r="N238" s="17">
        <v>2</v>
      </c>
      <c r="O238" s="17"/>
      <c r="P238" s="17"/>
      <c r="Q238" s="166"/>
      <c r="X238" s="243"/>
    </row>
    <row r="239" spans="1:24" s="73" customFormat="1" ht="12.75">
      <c r="A239" s="231"/>
      <c r="B239" s="114"/>
      <c r="C239" s="194">
        <f>B239</f>
        <v>0</v>
      </c>
      <c r="D239" s="114"/>
      <c r="E239" s="23"/>
      <c r="F239" s="23"/>
      <c r="G239" s="23"/>
      <c r="H239" s="23"/>
      <c r="I239" s="23"/>
      <c r="J239" s="121" t="s">
        <v>127</v>
      </c>
      <c r="K239" s="108">
        <f>SUM(K236:K238)</f>
        <v>0</v>
      </c>
      <c r="L239" s="142"/>
      <c r="M239" s="142"/>
      <c r="N239" s="142"/>
      <c r="O239" s="142"/>
      <c r="P239" s="143"/>
      <c r="Q239" s="133"/>
      <c r="X239" s="243"/>
    </row>
    <row r="240" spans="1:24" s="73" customFormat="1" ht="12.75" customHeight="1">
      <c r="A240" s="234" t="s">
        <v>78</v>
      </c>
      <c r="B240" s="148"/>
      <c r="C240" s="222">
        <f>B240</f>
        <v>0</v>
      </c>
      <c r="D240" s="148"/>
      <c r="E240" s="149"/>
      <c r="F240" s="149"/>
      <c r="G240" s="149"/>
      <c r="H240" s="149"/>
      <c r="I240" s="149"/>
      <c r="J240" s="152"/>
      <c r="K240" s="76"/>
      <c r="L240" s="384" t="s">
        <v>39</v>
      </c>
      <c r="M240" s="383"/>
      <c r="N240" s="383"/>
      <c r="O240" s="383"/>
      <c r="P240" s="379"/>
      <c r="Q240" s="370"/>
      <c r="X240" s="243"/>
    </row>
    <row r="241" spans="1:24" s="73" customFormat="1" ht="12.75">
      <c r="A241" s="227"/>
      <c r="B241" s="74"/>
      <c r="C241" s="216"/>
      <c r="D241" s="74"/>
      <c r="E241" s="75"/>
      <c r="F241" s="75"/>
      <c r="G241" s="75"/>
      <c r="H241" s="75"/>
      <c r="I241" s="75"/>
      <c r="J241" s="272" t="s">
        <v>209</v>
      </c>
      <c r="K241" s="76"/>
      <c r="L241" s="30"/>
      <c r="M241" s="26"/>
      <c r="N241" s="26"/>
      <c r="O241" s="26"/>
      <c r="P241" s="15"/>
      <c r="Q241" s="166"/>
      <c r="X241" s="243"/>
    </row>
    <row r="242" spans="1:24" s="73" customFormat="1" ht="15" customHeight="1">
      <c r="A242" s="317" t="s">
        <v>220</v>
      </c>
      <c r="B242" s="114" t="b">
        <f>IF(AND(A242="Yes",$B$210=FALSE),TRUE,FALSE)</f>
        <v>0</v>
      </c>
      <c r="C242" s="219" t="b">
        <f>B242</f>
        <v>0</v>
      </c>
      <c r="D242" s="65"/>
      <c r="E242" s="66"/>
      <c r="F242" s="66">
        <f>IF(C242,1,0)</f>
        <v>0</v>
      </c>
      <c r="G242" s="66"/>
      <c r="H242" s="66"/>
      <c r="I242" s="66"/>
      <c r="J242" s="284" t="s">
        <v>3</v>
      </c>
      <c r="K242" s="76">
        <f>IF($N$3="Whole House",0,SUM(D242:I242))</f>
        <v>0</v>
      </c>
      <c r="L242" s="15"/>
      <c r="M242" s="17">
        <v>1</v>
      </c>
      <c r="N242" s="17"/>
      <c r="O242" s="17"/>
      <c r="P242" s="17"/>
      <c r="Q242" s="166"/>
      <c r="X242" s="243"/>
    </row>
    <row r="243" spans="1:24" s="73" customFormat="1" ht="15" customHeight="1">
      <c r="A243" s="317" t="s">
        <v>220</v>
      </c>
      <c r="B243" s="78" t="b">
        <f aca="true" t="shared" si="18" ref="B243:B254">IF(A243="Yes",TRUE,FALSE)</f>
        <v>0</v>
      </c>
      <c r="C243" s="217" t="b">
        <f>B243</f>
        <v>0</v>
      </c>
      <c r="D243" s="78"/>
      <c r="E243" s="79"/>
      <c r="F243" s="79"/>
      <c r="G243" s="79"/>
      <c r="H243" s="79"/>
      <c r="I243" s="79">
        <f>IF(C243,1,0)</f>
        <v>0</v>
      </c>
      <c r="J243" s="286" t="s">
        <v>181</v>
      </c>
      <c r="K243" s="76">
        <f aca="true" t="shared" si="19" ref="K243:K254">SUM(D243:I243)</f>
        <v>0</v>
      </c>
      <c r="L243" s="15"/>
      <c r="M243" s="17"/>
      <c r="N243" s="17"/>
      <c r="O243" s="17"/>
      <c r="P243" s="17">
        <v>1</v>
      </c>
      <c r="Q243" s="166"/>
      <c r="X243" s="243"/>
    </row>
    <row r="244" spans="1:24" s="73" customFormat="1" ht="13.5" customHeight="1">
      <c r="A244" s="323"/>
      <c r="B244" s="74"/>
      <c r="C244" s="216"/>
      <c r="D244" s="74"/>
      <c r="E244" s="75"/>
      <c r="F244" s="75"/>
      <c r="G244" s="75"/>
      <c r="H244" s="75"/>
      <c r="I244" s="75"/>
      <c r="J244" s="272" t="s">
        <v>210</v>
      </c>
      <c r="K244" s="76"/>
      <c r="L244" s="30"/>
      <c r="M244" s="26"/>
      <c r="N244" s="26"/>
      <c r="O244" s="26"/>
      <c r="P244" s="15"/>
      <c r="Q244" s="166"/>
      <c r="X244" s="243"/>
    </row>
    <row r="245" spans="1:24" s="73" customFormat="1" ht="15.75" customHeight="1">
      <c r="A245" s="317" t="s">
        <v>220</v>
      </c>
      <c r="B245" s="65" t="b">
        <f t="shared" si="18"/>
        <v>0</v>
      </c>
      <c r="C245" s="219" t="b">
        <f>B245</f>
        <v>0</v>
      </c>
      <c r="D245" s="65"/>
      <c r="E245" s="66"/>
      <c r="F245" s="66">
        <f>IF(OR(C246,C245),1,0)</f>
        <v>0</v>
      </c>
      <c r="G245" s="66"/>
      <c r="H245" s="66"/>
      <c r="I245" s="66">
        <f>IF(OR(C246,C245),2,0)</f>
        <v>0</v>
      </c>
      <c r="J245" s="138" t="s">
        <v>128</v>
      </c>
      <c r="K245" s="76">
        <f t="shared" si="19"/>
        <v>0</v>
      </c>
      <c r="L245" s="15"/>
      <c r="M245" s="17">
        <v>1</v>
      </c>
      <c r="N245" s="17"/>
      <c r="O245" s="17"/>
      <c r="P245" s="17">
        <v>2</v>
      </c>
      <c r="Q245" s="166"/>
      <c r="X245" s="252"/>
    </row>
    <row r="246" spans="1:24" s="73" customFormat="1" ht="13.5" customHeight="1">
      <c r="A246" s="317" t="s">
        <v>220</v>
      </c>
      <c r="B246" s="78" t="b">
        <f t="shared" si="18"/>
        <v>0</v>
      </c>
      <c r="C246" s="217" t="b">
        <f>B246</f>
        <v>0</v>
      </c>
      <c r="D246" s="78"/>
      <c r="E246" s="79"/>
      <c r="F246" s="79"/>
      <c r="G246" s="79"/>
      <c r="H246" s="79"/>
      <c r="I246" s="79">
        <f>IF(C246,2,0)</f>
        <v>0</v>
      </c>
      <c r="J246" s="139" t="s">
        <v>129</v>
      </c>
      <c r="K246" s="76">
        <f t="shared" si="19"/>
        <v>0</v>
      </c>
      <c r="L246" s="15"/>
      <c r="M246" s="17"/>
      <c r="N246" s="17"/>
      <c r="O246" s="17"/>
      <c r="P246" s="17">
        <v>2</v>
      </c>
      <c r="Q246" s="166"/>
      <c r="X246" s="243"/>
    </row>
    <row r="247" spans="1:24" s="73" customFormat="1" ht="12.75">
      <c r="A247" s="323"/>
      <c r="B247" s="74"/>
      <c r="C247" s="216"/>
      <c r="D247" s="74"/>
      <c r="E247" s="75"/>
      <c r="F247" s="75"/>
      <c r="G247" s="75"/>
      <c r="H247" s="75"/>
      <c r="I247" s="75"/>
      <c r="J247" s="272" t="s">
        <v>211</v>
      </c>
      <c r="K247" s="76"/>
      <c r="L247" s="30"/>
      <c r="M247" s="26"/>
      <c r="N247" s="26"/>
      <c r="O247" s="26"/>
      <c r="P247" s="15"/>
      <c r="Q247" s="166"/>
      <c r="X247" s="243"/>
    </row>
    <row r="248" spans="1:24" s="73" customFormat="1" ht="12.75" customHeight="1">
      <c r="A248" s="317" t="s">
        <v>220</v>
      </c>
      <c r="B248" s="114" t="b">
        <f>IF(AND(A248="Yes",$B$210=FALSE),TRUE,FALSE)</f>
        <v>0</v>
      </c>
      <c r="C248" s="219" t="b">
        <f>B248</f>
        <v>0</v>
      </c>
      <c r="D248" s="65"/>
      <c r="E248" s="66"/>
      <c r="F248" s="66">
        <f>IF(OR(C249,C248),1,0)</f>
        <v>0</v>
      </c>
      <c r="G248" s="66"/>
      <c r="H248" s="66"/>
      <c r="I248" s="66"/>
      <c r="J248" s="273" t="s">
        <v>1</v>
      </c>
      <c r="K248" s="76">
        <f>IF($N$3="Whole House",0,SUM(D248:I248))</f>
        <v>0</v>
      </c>
      <c r="L248" s="15"/>
      <c r="M248" s="17">
        <v>1</v>
      </c>
      <c r="N248" s="17"/>
      <c r="O248" s="17"/>
      <c r="P248" s="17"/>
      <c r="Q248" s="166"/>
      <c r="X248" s="243"/>
    </row>
    <row r="249" spans="1:24" s="73" customFormat="1" ht="13.5" customHeight="1">
      <c r="A249" s="317" t="s">
        <v>220</v>
      </c>
      <c r="B249" s="114" t="b">
        <f>IF(AND(A249="Yes",$B$210=FALSE),TRUE,FALSE)</f>
        <v>0</v>
      </c>
      <c r="C249" s="217" t="b">
        <f>B249</f>
        <v>0</v>
      </c>
      <c r="D249" s="78"/>
      <c r="E249" s="79"/>
      <c r="F249" s="79">
        <f>IF(C249,1,0)</f>
        <v>0</v>
      </c>
      <c r="G249" s="79"/>
      <c r="H249" s="79"/>
      <c r="I249" s="79"/>
      <c r="J249" s="287" t="s">
        <v>2</v>
      </c>
      <c r="K249" s="76">
        <f>IF($N$3="Whole House",0,SUM(D249:I249))</f>
        <v>0</v>
      </c>
      <c r="L249" s="15"/>
      <c r="M249" s="17">
        <v>1</v>
      </c>
      <c r="N249" s="17"/>
      <c r="O249" s="17"/>
      <c r="P249" s="17"/>
      <c r="Q249" s="166"/>
      <c r="X249" s="243"/>
    </row>
    <row r="250" spans="1:24" s="73" customFormat="1" ht="13.5" customHeight="1">
      <c r="A250" s="323"/>
      <c r="B250" s="74"/>
      <c r="C250" s="216"/>
      <c r="D250" s="74"/>
      <c r="E250" s="75"/>
      <c r="F250" s="75"/>
      <c r="G250" s="75"/>
      <c r="H250" s="75"/>
      <c r="I250" s="75"/>
      <c r="J250" s="267" t="s">
        <v>212</v>
      </c>
      <c r="K250" s="76"/>
      <c r="L250" s="30"/>
      <c r="M250" s="26"/>
      <c r="N250" s="26"/>
      <c r="O250" s="26"/>
      <c r="P250" s="15"/>
      <c r="Q250" s="166"/>
      <c r="X250" s="243"/>
    </row>
    <row r="251" spans="1:24" s="73" customFormat="1" ht="12.75">
      <c r="A251" s="317" t="s">
        <v>220</v>
      </c>
      <c r="B251" s="65" t="b">
        <f t="shared" si="18"/>
        <v>0</v>
      </c>
      <c r="C251" s="219" t="b">
        <f>B251</f>
        <v>0</v>
      </c>
      <c r="D251" s="65"/>
      <c r="E251" s="66"/>
      <c r="F251" s="66"/>
      <c r="G251" s="66"/>
      <c r="H251" s="66">
        <f>IF(C251,2,0)</f>
        <v>0</v>
      </c>
      <c r="I251" s="66"/>
      <c r="J251" s="262" t="s">
        <v>59</v>
      </c>
      <c r="K251" s="76">
        <f t="shared" si="19"/>
        <v>0</v>
      </c>
      <c r="L251" s="15"/>
      <c r="M251" s="17"/>
      <c r="N251" s="17"/>
      <c r="O251" s="17">
        <v>2</v>
      </c>
      <c r="P251" s="17"/>
      <c r="Q251" s="166"/>
      <c r="X251" s="243"/>
    </row>
    <row r="252" spans="1:24" s="73" customFormat="1" ht="12.75">
      <c r="A252" s="317" t="s">
        <v>220</v>
      </c>
      <c r="B252" s="78" t="b">
        <f t="shared" si="18"/>
        <v>0</v>
      </c>
      <c r="C252" s="217" t="b">
        <f>B252</f>
        <v>0</v>
      </c>
      <c r="D252" s="78"/>
      <c r="E252" s="79"/>
      <c r="F252" s="79"/>
      <c r="G252" s="79"/>
      <c r="H252" s="79">
        <f>IF(C252,1,0)</f>
        <v>0</v>
      </c>
      <c r="I252" s="79"/>
      <c r="J252" s="271" t="s">
        <v>60</v>
      </c>
      <c r="K252" s="76">
        <f t="shared" si="19"/>
        <v>0</v>
      </c>
      <c r="L252" s="15"/>
      <c r="M252" s="17"/>
      <c r="N252" s="17"/>
      <c r="O252" s="17">
        <v>1</v>
      </c>
      <c r="P252" s="17"/>
      <c r="Q252" s="166"/>
      <c r="X252" s="243"/>
    </row>
    <row r="253" spans="1:24" s="73" customFormat="1" ht="12.75">
      <c r="A253" s="317" t="s">
        <v>220</v>
      </c>
      <c r="B253" s="114" t="b">
        <f t="shared" si="18"/>
        <v>0</v>
      </c>
      <c r="C253" s="194" t="b">
        <v>1</v>
      </c>
      <c r="D253" s="114"/>
      <c r="E253" s="23"/>
      <c r="F253" s="23"/>
      <c r="G253" s="23"/>
      <c r="H253" s="23"/>
      <c r="I253" s="23"/>
      <c r="J253" s="269" t="s">
        <v>345</v>
      </c>
      <c r="K253" s="76">
        <f t="shared" si="19"/>
        <v>0</v>
      </c>
      <c r="L253" s="15"/>
      <c r="N253" s="17"/>
      <c r="O253" s="16" t="s">
        <v>79</v>
      </c>
      <c r="P253" s="17"/>
      <c r="Q253" s="166"/>
      <c r="X253" s="252"/>
    </row>
    <row r="254" spans="1:24" s="73" customFormat="1" ht="16.5" customHeight="1">
      <c r="A254" s="317" t="s">
        <v>220</v>
      </c>
      <c r="B254" s="114" t="b">
        <f t="shared" si="18"/>
        <v>0</v>
      </c>
      <c r="C254" s="194" t="b">
        <f>B254</f>
        <v>0</v>
      </c>
      <c r="D254" s="114"/>
      <c r="E254" s="23"/>
      <c r="G254" s="23"/>
      <c r="H254" s="23">
        <f>IF(C254,2,0)</f>
        <v>0</v>
      </c>
      <c r="I254" s="23"/>
      <c r="J254" s="270" t="s">
        <v>323</v>
      </c>
      <c r="K254" s="76">
        <f t="shared" si="19"/>
        <v>0</v>
      </c>
      <c r="L254" s="26"/>
      <c r="M254" s="17"/>
      <c r="N254" s="15"/>
      <c r="O254" s="17">
        <v>2</v>
      </c>
      <c r="P254" s="17"/>
      <c r="Q254" s="166"/>
      <c r="X254" s="243"/>
    </row>
    <row r="255" spans="1:24" s="73" customFormat="1" ht="15.75" customHeight="1">
      <c r="A255" s="320"/>
      <c r="B255" s="78">
        <f>IF(A255&gt;0,(LOOKUP(A255,$V$9:$V$13,$U$9:$U$13)),0)</f>
        <v>0</v>
      </c>
      <c r="C255" s="217">
        <f>IF(B255=5,1,A255)</f>
        <v>0</v>
      </c>
      <c r="D255" s="114"/>
      <c r="E255" s="23"/>
      <c r="F255" s="23">
        <f>C255</f>
        <v>0</v>
      </c>
      <c r="G255" s="23"/>
      <c r="H255" s="23"/>
      <c r="I255" s="23"/>
      <c r="J255" s="269" t="s">
        <v>213</v>
      </c>
      <c r="K255" s="76">
        <f>F255</f>
        <v>0</v>
      </c>
      <c r="L255" s="331"/>
      <c r="M255" s="27">
        <v>1</v>
      </c>
      <c r="N255" s="331"/>
      <c r="O255" s="331"/>
      <c r="P255" s="331"/>
      <c r="Q255" s="364"/>
      <c r="X255" s="252"/>
    </row>
    <row r="256" spans="1:24" s="73" customFormat="1" ht="12.75">
      <c r="A256" s="324"/>
      <c r="B256" s="65"/>
      <c r="C256" s="219"/>
      <c r="D256" s="65"/>
      <c r="E256" s="66"/>
      <c r="F256" s="66"/>
      <c r="G256" s="66"/>
      <c r="H256" s="66"/>
      <c r="I256" s="66"/>
      <c r="J256" s="284" t="s">
        <v>214</v>
      </c>
      <c r="K256" s="76"/>
      <c r="L256" s="156"/>
      <c r="M256" s="157"/>
      <c r="N256" s="157"/>
      <c r="O256" s="157"/>
      <c r="P256" s="144"/>
      <c r="Q256" s="166"/>
      <c r="X256" s="243"/>
    </row>
    <row r="257" spans="1:24" s="73" customFormat="1" ht="25.5" customHeight="1">
      <c r="A257" s="317" t="s">
        <v>220</v>
      </c>
      <c r="B257" s="65" t="b">
        <f>IF(A257="Yes",TRUE,FALSE)</f>
        <v>0</v>
      </c>
      <c r="C257" s="219" t="b">
        <f>B257</f>
        <v>0</v>
      </c>
      <c r="D257" s="65"/>
      <c r="E257" s="66"/>
      <c r="F257" s="66"/>
      <c r="G257" s="66"/>
      <c r="H257" s="66">
        <f>IF(C257,1,0)</f>
        <v>0</v>
      </c>
      <c r="I257" s="66"/>
      <c r="J257" s="288" t="s">
        <v>217</v>
      </c>
      <c r="K257" s="76">
        <f>H257</f>
        <v>0</v>
      </c>
      <c r="L257" s="15"/>
      <c r="M257" s="17"/>
      <c r="N257" s="17"/>
      <c r="O257" s="17">
        <v>1</v>
      </c>
      <c r="P257" s="17"/>
      <c r="Q257" s="166"/>
      <c r="X257" s="243"/>
    </row>
    <row r="258" spans="1:24" s="73" customFormat="1" ht="24.75" customHeight="1">
      <c r="A258" s="317" t="s">
        <v>220</v>
      </c>
      <c r="B258" s="65" t="b">
        <f>IF(A258="Yes",TRUE,FALSE)</f>
        <v>0</v>
      </c>
      <c r="C258" s="219" t="b">
        <f>B258</f>
        <v>0</v>
      </c>
      <c r="D258" s="78"/>
      <c r="E258" s="79"/>
      <c r="F258" s="79"/>
      <c r="G258" s="79"/>
      <c r="H258" s="79">
        <f>IF(C258,2,0)</f>
        <v>0</v>
      </c>
      <c r="I258" s="79"/>
      <c r="J258" s="289" t="s">
        <v>218</v>
      </c>
      <c r="K258" s="76">
        <f>H258</f>
        <v>0</v>
      </c>
      <c r="L258" s="158"/>
      <c r="M258" s="17"/>
      <c r="N258" s="17"/>
      <c r="O258" s="17">
        <v>2</v>
      </c>
      <c r="P258" s="17"/>
      <c r="Q258" s="166"/>
      <c r="X258" s="243"/>
    </row>
    <row r="259" spans="1:24" s="73" customFormat="1" ht="12.75">
      <c r="A259" s="320"/>
      <c r="B259" s="295">
        <f>IF(A259&gt;0,(LOOKUP(A259,$V$9:$V$13,$U$9:$U$13)),0)</f>
        <v>0</v>
      </c>
      <c r="C259" s="194">
        <f>IF(B259=5,1,A259)</f>
        <v>0</v>
      </c>
      <c r="D259" s="65"/>
      <c r="E259" s="66"/>
      <c r="F259" s="66">
        <f>C259</f>
        <v>0</v>
      </c>
      <c r="G259" s="75"/>
      <c r="H259" s="75"/>
      <c r="I259" s="75"/>
      <c r="J259" s="285" t="s">
        <v>215</v>
      </c>
      <c r="K259" s="76">
        <f>F259</f>
        <v>0</v>
      </c>
      <c r="L259" s="17"/>
      <c r="M259" s="17">
        <v>1</v>
      </c>
      <c r="N259" s="17"/>
      <c r="O259" s="17"/>
      <c r="P259" s="17"/>
      <c r="Q259" s="166"/>
      <c r="X259" s="252"/>
    </row>
    <row r="260" spans="1:17" ht="12.75">
      <c r="A260" s="235"/>
      <c r="B260" s="159"/>
      <c r="C260" s="194"/>
      <c r="D260" s="159"/>
      <c r="E260" s="160"/>
      <c r="F260" s="160"/>
      <c r="G260" s="160"/>
      <c r="H260" s="160"/>
      <c r="I260" s="160"/>
      <c r="J260" s="121" t="s">
        <v>224</v>
      </c>
      <c r="K260" s="108">
        <f>SUM(K241:K259)</f>
        <v>0</v>
      </c>
      <c r="L260" s="161"/>
      <c r="M260" s="161"/>
      <c r="N260" s="162"/>
      <c r="O260" s="162"/>
      <c r="P260" s="163"/>
      <c r="Q260" s="133"/>
    </row>
    <row r="261" spans="1:24" s="73" customFormat="1" ht="12.75" customHeight="1">
      <c r="A261" s="234" t="s">
        <v>24</v>
      </c>
      <c r="B261" s="148"/>
      <c r="C261" s="222"/>
      <c r="D261" s="148"/>
      <c r="E261" s="149"/>
      <c r="F261" s="149"/>
      <c r="G261" s="149"/>
      <c r="H261" s="149"/>
      <c r="I261" s="149"/>
      <c r="J261" s="152"/>
      <c r="K261" s="76"/>
      <c r="L261" s="383" t="s">
        <v>39</v>
      </c>
      <c r="M261" s="383"/>
      <c r="N261" s="383"/>
      <c r="O261" s="383"/>
      <c r="P261" s="379"/>
      <c r="Q261" s="370"/>
      <c r="X261" s="243"/>
    </row>
    <row r="262" spans="1:24" s="73" customFormat="1" ht="26.25" customHeight="1">
      <c r="A262" s="317" t="s">
        <v>220</v>
      </c>
      <c r="B262" s="114" t="b">
        <f>IF(A262="Yes",TRUE,FALSE)</f>
        <v>0</v>
      </c>
      <c r="C262" s="194" t="b">
        <f>B262</f>
        <v>0</v>
      </c>
      <c r="D262" s="114"/>
      <c r="E262" s="23"/>
      <c r="F262" s="23"/>
      <c r="G262" s="23"/>
      <c r="H262" s="23"/>
      <c r="I262" s="23"/>
      <c r="J262" s="290" t="s">
        <v>324</v>
      </c>
      <c r="K262" s="76">
        <f>SUM(D262:I262)</f>
        <v>0</v>
      </c>
      <c r="L262" s="164"/>
      <c r="M262" s="16" t="s">
        <v>79</v>
      </c>
      <c r="N262" s="165"/>
      <c r="O262" s="165"/>
      <c r="P262" s="165"/>
      <c r="Q262" s="365"/>
      <c r="X262" s="252"/>
    </row>
    <row r="263" spans="1:24" ht="12.75">
      <c r="A263" s="317" t="s">
        <v>220</v>
      </c>
      <c r="B263" s="114" t="b">
        <f>IF(A263="Yes",TRUE,FALSE)</f>
        <v>0</v>
      </c>
      <c r="C263" s="194" t="b">
        <f>B263</f>
        <v>0</v>
      </c>
      <c r="D263" s="159"/>
      <c r="E263" s="160"/>
      <c r="F263" s="160">
        <f>IF(C263,1,0)</f>
        <v>0</v>
      </c>
      <c r="G263" s="160"/>
      <c r="H263" s="160"/>
      <c r="I263" s="160">
        <f>IF(C263,1,0)</f>
        <v>0</v>
      </c>
      <c r="J263" s="270" t="s">
        <v>47</v>
      </c>
      <c r="K263" s="76">
        <f>SUM(D263:I263)</f>
        <v>0</v>
      </c>
      <c r="L263" s="15"/>
      <c r="M263" s="17">
        <v>1</v>
      </c>
      <c r="N263" s="33"/>
      <c r="O263" s="17"/>
      <c r="P263" s="17">
        <v>1</v>
      </c>
      <c r="Q263" s="166"/>
      <c r="X263" s="251"/>
    </row>
    <row r="264" spans="1:24" ht="13.5">
      <c r="A264" s="326"/>
      <c r="B264" s="114"/>
      <c r="C264" s="194"/>
      <c r="D264" s="159"/>
      <c r="E264" s="160"/>
      <c r="F264" s="160"/>
      <c r="G264" s="160"/>
      <c r="H264" s="160"/>
      <c r="I264" s="160"/>
      <c r="J264" s="270" t="s">
        <v>153</v>
      </c>
      <c r="K264" s="76"/>
      <c r="L264" s="15"/>
      <c r="M264" s="17"/>
      <c r="N264" s="17"/>
      <c r="O264" s="17"/>
      <c r="P264" s="17"/>
      <c r="Q264" s="166"/>
      <c r="X264" s="182"/>
    </row>
    <row r="265" spans="1:17" ht="12.75">
      <c r="A265" s="317" t="s">
        <v>220</v>
      </c>
      <c r="B265" s="114" t="b">
        <f>IF(A265="Yes",TRUE,FALSE)</f>
        <v>0</v>
      </c>
      <c r="C265" s="194" t="b">
        <f>B265</f>
        <v>0</v>
      </c>
      <c r="D265" s="159"/>
      <c r="E265" s="160"/>
      <c r="F265" s="160"/>
      <c r="G265" s="160">
        <f>IF(C265,1,0)</f>
        <v>0</v>
      </c>
      <c r="H265" s="160"/>
      <c r="I265" s="160"/>
      <c r="J265" s="138" t="s">
        <v>156</v>
      </c>
      <c r="K265" s="76">
        <f>SUM(D265:I265)</f>
        <v>0</v>
      </c>
      <c r="L265" s="15"/>
      <c r="M265" s="17"/>
      <c r="N265" s="17">
        <v>1</v>
      </c>
      <c r="O265" s="17"/>
      <c r="P265" s="17"/>
      <c r="Q265" s="166"/>
    </row>
    <row r="266" spans="1:17" ht="12.75">
      <c r="A266" s="317" t="s">
        <v>220</v>
      </c>
      <c r="B266" s="114" t="b">
        <f>IF(A266="Yes",TRUE,FALSE)</f>
        <v>0</v>
      </c>
      <c r="C266" s="194" t="b">
        <f>B266</f>
        <v>0</v>
      </c>
      <c r="D266" s="159"/>
      <c r="E266" s="160"/>
      <c r="F266" s="160"/>
      <c r="G266" s="160">
        <f>IF(C266,1,0)</f>
        <v>0</v>
      </c>
      <c r="H266" s="160"/>
      <c r="I266" s="160"/>
      <c r="J266" s="282" t="s">
        <v>157</v>
      </c>
      <c r="K266" s="76">
        <f>SUM(D266:I266)</f>
        <v>0</v>
      </c>
      <c r="L266" s="15"/>
      <c r="M266" s="17"/>
      <c r="N266" s="17">
        <v>1</v>
      </c>
      <c r="O266" s="17"/>
      <c r="P266" s="17"/>
      <c r="Q266" s="166"/>
    </row>
    <row r="267" spans="1:17" ht="13.5" customHeight="1">
      <c r="A267" s="317" t="s">
        <v>220</v>
      </c>
      <c r="B267" s="114" t="b">
        <f>IF(A267="Yes",TRUE,FALSE)</f>
        <v>0</v>
      </c>
      <c r="C267" s="194" t="b">
        <f>B267</f>
        <v>0</v>
      </c>
      <c r="D267" s="159"/>
      <c r="E267" s="160"/>
      <c r="F267" s="160"/>
      <c r="G267" s="160">
        <f>IF(C267,1,0)</f>
        <v>0</v>
      </c>
      <c r="H267" s="160">
        <f>IF(C267,1,0)</f>
        <v>0</v>
      </c>
      <c r="I267" s="160"/>
      <c r="J267" s="270" t="s">
        <v>143</v>
      </c>
      <c r="K267" s="76">
        <f>SUM(D267:I267)</f>
        <v>0</v>
      </c>
      <c r="L267" s="15"/>
      <c r="M267" s="17"/>
      <c r="N267" s="17">
        <v>1</v>
      </c>
      <c r="O267" s="17">
        <v>1</v>
      </c>
      <c r="P267" s="17"/>
      <c r="Q267" s="166"/>
    </row>
    <row r="268" spans="1:17" ht="13.5" customHeight="1">
      <c r="A268" s="344"/>
      <c r="B268" s="74"/>
      <c r="C268" s="216"/>
      <c r="D268" s="81"/>
      <c r="E268" s="82"/>
      <c r="F268" s="82"/>
      <c r="G268" s="82"/>
      <c r="H268" s="82"/>
      <c r="I268" s="82"/>
      <c r="J268" s="121" t="s">
        <v>304</v>
      </c>
      <c r="K268" s="76">
        <f>SUM(K262:K267)</f>
        <v>0</v>
      </c>
      <c r="L268" s="26"/>
      <c r="M268" s="26"/>
      <c r="N268" s="26"/>
      <c r="O268" s="26"/>
      <c r="P268" s="15"/>
      <c r="Q268" s="166"/>
    </row>
    <row r="269" spans="1:24" s="73" customFormat="1" ht="12.75" customHeight="1">
      <c r="A269" s="234" t="s">
        <v>310</v>
      </c>
      <c r="B269" s="148"/>
      <c r="C269" s="222"/>
      <c r="D269" s="148"/>
      <c r="E269" s="149"/>
      <c r="F269" s="149"/>
      <c r="G269" s="149"/>
      <c r="H269" s="149"/>
      <c r="I269" s="149"/>
      <c r="J269" s="152"/>
      <c r="K269" s="76"/>
      <c r="L269" s="383" t="s">
        <v>39</v>
      </c>
      <c r="M269" s="383"/>
      <c r="N269" s="383"/>
      <c r="O269" s="383"/>
      <c r="P269" s="379"/>
      <c r="Q269" s="370"/>
      <c r="X269" s="243"/>
    </row>
    <row r="270" spans="1:17" ht="12.75">
      <c r="A270" s="342"/>
      <c r="J270" s="285" t="s">
        <v>306</v>
      </c>
      <c r="K270" s="87"/>
      <c r="L270" s="301"/>
      <c r="M270" s="302"/>
      <c r="N270" s="303"/>
      <c r="O270" s="303"/>
      <c r="P270" s="304"/>
      <c r="Q270" s="365"/>
    </row>
    <row r="271" spans="10:17" ht="12.75">
      <c r="J271" s="285" t="s">
        <v>268</v>
      </c>
      <c r="K271" s="94"/>
      <c r="L271" s="305"/>
      <c r="M271" s="157"/>
      <c r="N271" s="306"/>
      <c r="O271" s="306"/>
      <c r="P271" s="307"/>
      <c r="Q271" s="315"/>
    </row>
    <row r="272" spans="1:17" ht="12.75">
      <c r="A272" s="340" t="s">
        <v>220</v>
      </c>
      <c r="B272" s="114" t="b">
        <f>IF(A272="Yes",TRUE,FALSE)</f>
        <v>0</v>
      </c>
      <c r="C272" s="56" t="b">
        <f>B272</f>
        <v>0</v>
      </c>
      <c r="E272" s="56">
        <f>IF(C272,1,0)</f>
        <v>0</v>
      </c>
      <c r="J272" s="298" t="s">
        <v>269</v>
      </c>
      <c r="K272" s="76">
        <f>SUM(E272:I272)</f>
        <v>0</v>
      </c>
      <c r="L272" s="137">
        <v>1</v>
      </c>
      <c r="M272" s="17"/>
      <c r="N272" s="25"/>
      <c r="O272" s="25"/>
      <c r="P272" s="25"/>
      <c r="Q272" s="315"/>
    </row>
    <row r="273" spans="1:17" ht="12.75">
      <c r="A273" s="343"/>
      <c r="B273" s="114"/>
      <c r="J273" s="285" t="s">
        <v>307</v>
      </c>
      <c r="K273" s="87">
        <f aca="true" t="shared" si="20" ref="K273:K313">SUM(E273:I273)</f>
        <v>0</v>
      </c>
      <c r="L273" s="308"/>
      <c r="M273" s="309"/>
      <c r="N273" s="310"/>
      <c r="O273" s="310"/>
      <c r="P273" s="311"/>
      <c r="Q273" s="315"/>
    </row>
    <row r="274" spans="1:17" ht="12.75">
      <c r="A274" s="327"/>
      <c r="B274" s="114"/>
      <c r="J274" s="285" t="s">
        <v>270</v>
      </c>
      <c r="K274" s="94">
        <f t="shared" si="20"/>
        <v>0</v>
      </c>
      <c r="L274" s="305"/>
      <c r="M274" s="157"/>
      <c r="N274" s="306"/>
      <c r="O274" s="306"/>
      <c r="P274" s="307"/>
      <c r="Q274" s="315"/>
    </row>
    <row r="275" spans="1:17" ht="12.75">
      <c r="A275" s="317" t="s">
        <v>220</v>
      </c>
      <c r="B275" s="114" t="b">
        <f>IF(A275="Yes",TRUE,FALSE)</f>
        <v>0</v>
      </c>
      <c r="C275" s="56" t="b">
        <f>B275</f>
        <v>0</v>
      </c>
      <c r="I275" s="56">
        <f>IF(C275,1,0)</f>
        <v>0</v>
      </c>
      <c r="J275" s="298" t="s">
        <v>272</v>
      </c>
      <c r="K275" s="76">
        <f t="shared" si="20"/>
        <v>0</v>
      </c>
      <c r="L275" s="137"/>
      <c r="M275" s="17"/>
      <c r="N275" s="25"/>
      <c r="O275" s="25"/>
      <c r="P275" s="25">
        <v>1</v>
      </c>
      <c r="Q275" s="315"/>
    </row>
    <row r="276" spans="1:17" ht="12.75">
      <c r="A276" s="341"/>
      <c r="B276" s="295">
        <f>IF(A276&gt;0,(LOOKUP(A276,$V$9:$V$13,$U$9:$U$13)),0)</f>
        <v>0</v>
      </c>
      <c r="C276" s="194">
        <f>IF(B276=5,1,A276)</f>
        <v>0</v>
      </c>
      <c r="H276" s="56">
        <f>C276</f>
        <v>0</v>
      </c>
      <c r="J276" s="298" t="s">
        <v>271</v>
      </c>
      <c r="K276" s="76">
        <f t="shared" si="20"/>
        <v>0</v>
      </c>
      <c r="L276" s="137"/>
      <c r="M276" s="17"/>
      <c r="N276" s="25"/>
      <c r="O276" s="25">
        <v>1</v>
      </c>
      <c r="P276" s="25"/>
      <c r="Q276" s="315"/>
    </row>
    <row r="277" spans="1:17" ht="12.75">
      <c r="A277" s="343"/>
      <c r="B277" s="114"/>
      <c r="J277" s="285" t="s">
        <v>273</v>
      </c>
      <c r="K277" s="87">
        <f t="shared" si="20"/>
        <v>0</v>
      </c>
      <c r="L277" s="308"/>
      <c r="M277" s="309"/>
      <c r="N277" s="310"/>
      <c r="O277" s="310"/>
      <c r="P277" s="311"/>
      <c r="Q277" s="315"/>
    </row>
    <row r="278" spans="1:17" ht="12.75">
      <c r="A278" s="327"/>
      <c r="B278" s="114"/>
      <c r="J278" s="298" t="s">
        <v>274</v>
      </c>
      <c r="K278" s="94">
        <f t="shared" si="20"/>
        <v>0</v>
      </c>
      <c r="L278" s="305"/>
      <c r="M278" s="157"/>
      <c r="N278" s="306"/>
      <c r="O278" s="306"/>
      <c r="P278" s="307"/>
      <c r="Q278" s="315"/>
    </row>
    <row r="279" spans="1:17" ht="12.75">
      <c r="A279" s="317" t="s">
        <v>220</v>
      </c>
      <c r="B279" s="114" t="b">
        <f>IF(A279="Yes",TRUE,FALSE)</f>
        <v>0</v>
      </c>
      <c r="C279" s="56" t="b">
        <f>B279</f>
        <v>0</v>
      </c>
      <c r="H279" s="56">
        <f>IF(C279,1,0)</f>
        <v>0</v>
      </c>
      <c r="J279" s="299" t="s">
        <v>275</v>
      </c>
      <c r="K279" s="76">
        <f t="shared" si="20"/>
        <v>0</v>
      </c>
      <c r="L279" s="137"/>
      <c r="M279" s="17"/>
      <c r="N279" s="25"/>
      <c r="O279" s="25">
        <v>1</v>
      </c>
      <c r="P279" s="25"/>
      <c r="Q279" s="315"/>
    </row>
    <row r="280" spans="1:17" ht="24">
      <c r="A280" s="320"/>
      <c r="B280" s="295">
        <f>IF(A280&gt;0,(LOOKUP(A280,$V$9:$V$13,$U$9:$U$13)),0)</f>
        <v>0</v>
      </c>
      <c r="C280" s="194">
        <f>IF(B280=5,1,A280)</f>
        <v>0</v>
      </c>
      <c r="G280" s="56">
        <f>C280</f>
        <v>0</v>
      </c>
      <c r="J280" s="299" t="s">
        <v>276</v>
      </c>
      <c r="K280" s="76">
        <f t="shared" si="20"/>
        <v>0</v>
      </c>
      <c r="L280" s="137"/>
      <c r="M280" s="17"/>
      <c r="N280" s="25">
        <v>1</v>
      </c>
      <c r="O280" s="25"/>
      <c r="P280" s="25"/>
      <c r="Q280" s="315"/>
    </row>
    <row r="281" spans="1:17" ht="24">
      <c r="A281" s="317" t="s">
        <v>220</v>
      </c>
      <c r="B281" s="114" t="b">
        <f>IF(A281="Yes",TRUE,FALSE)</f>
        <v>0</v>
      </c>
      <c r="C281" s="56" t="b">
        <f>B281</f>
        <v>0</v>
      </c>
      <c r="G281" s="56">
        <f>IF(C281,1,0)</f>
        <v>0</v>
      </c>
      <c r="J281" s="298" t="s">
        <v>277</v>
      </c>
      <c r="K281" s="76">
        <f t="shared" si="20"/>
        <v>0</v>
      </c>
      <c r="L281" s="137"/>
      <c r="M281" s="17"/>
      <c r="N281" s="25">
        <v>1</v>
      </c>
      <c r="O281" s="25"/>
      <c r="P281" s="25"/>
      <c r="Q281" s="315"/>
    </row>
    <row r="282" spans="1:17" ht="12.75">
      <c r="A282" s="327"/>
      <c r="B282" s="114"/>
      <c r="J282" s="298" t="s">
        <v>278</v>
      </c>
      <c r="K282" s="76">
        <f t="shared" si="20"/>
        <v>0</v>
      </c>
      <c r="L282" s="312"/>
      <c r="M282" s="26"/>
      <c r="N282" s="313"/>
      <c r="O282" s="313"/>
      <c r="P282" s="137"/>
      <c r="Q282" s="315"/>
    </row>
    <row r="283" spans="1:17" ht="12.75">
      <c r="A283" s="341"/>
      <c r="B283" s="295">
        <f aca="true" t="shared" si="21" ref="B283:B288">IF(A283&gt;0,(LOOKUP(A283,$V$9:$V$13,$U$9:$U$13)),0)</f>
        <v>0</v>
      </c>
      <c r="C283" s="194">
        <f aca="true" t="shared" si="22" ref="C283:C288">IF(B283=5,1,A283)</f>
        <v>0</v>
      </c>
      <c r="H283" s="56">
        <f aca="true" t="shared" si="23" ref="H283:H288">C283</f>
        <v>0</v>
      </c>
      <c r="J283" s="299" t="s">
        <v>279</v>
      </c>
      <c r="K283" s="76">
        <f t="shared" si="20"/>
        <v>0</v>
      </c>
      <c r="L283" s="137"/>
      <c r="M283" s="17"/>
      <c r="N283" s="25"/>
      <c r="O283" s="25">
        <v>1</v>
      </c>
      <c r="P283" s="25"/>
      <c r="Q283" s="315"/>
    </row>
    <row r="284" spans="1:17" ht="12.75">
      <c r="A284" s="341"/>
      <c r="B284" s="295">
        <f t="shared" si="21"/>
        <v>0</v>
      </c>
      <c r="C284" s="194">
        <f t="shared" si="22"/>
        <v>0</v>
      </c>
      <c r="H284" s="56">
        <f t="shared" si="23"/>
        <v>0</v>
      </c>
      <c r="J284" s="299" t="s">
        <v>280</v>
      </c>
      <c r="K284" s="76">
        <f t="shared" si="20"/>
        <v>0</v>
      </c>
      <c r="L284" s="137"/>
      <c r="M284" s="17"/>
      <c r="N284" s="25"/>
      <c r="O284" s="25">
        <v>1</v>
      </c>
      <c r="P284" s="25"/>
      <c r="Q284" s="315"/>
    </row>
    <row r="285" spans="1:17" ht="12.75">
      <c r="A285" s="341"/>
      <c r="B285" s="295">
        <f t="shared" si="21"/>
        <v>0</v>
      </c>
      <c r="C285" s="194">
        <f t="shared" si="22"/>
        <v>0</v>
      </c>
      <c r="H285" s="56">
        <f t="shared" si="23"/>
        <v>0</v>
      </c>
      <c r="J285" s="299" t="s">
        <v>281</v>
      </c>
      <c r="K285" s="76">
        <f t="shared" si="20"/>
        <v>0</v>
      </c>
      <c r="L285" s="137"/>
      <c r="M285" s="17"/>
      <c r="N285" s="25"/>
      <c r="O285" s="25">
        <v>1</v>
      </c>
      <c r="P285" s="25"/>
      <c r="Q285" s="315"/>
    </row>
    <row r="286" spans="1:17" ht="12.75">
      <c r="A286" s="341"/>
      <c r="B286" s="295">
        <f t="shared" si="21"/>
        <v>0</v>
      </c>
      <c r="C286" s="194">
        <f t="shared" si="22"/>
        <v>0</v>
      </c>
      <c r="H286" s="56">
        <f t="shared" si="23"/>
        <v>0</v>
      </c>
      <c r="J286" s="299" t="s">
        <v>282</v>
      </c>
      <c r="K286" s="76">
        <f t="shared" si="20"/>
        <v>0</v>
      </c>
      <c r="L286" s="137"/>
      <c r="M286" s="17"/>
      <c r="N286" s="25"/>
      <c r="O286" s="25">
        <v>1</v>
      </c>
      <c r="P286" s="25"/>
      <c r="Q286" s="315"/>
    </row>
    <row r="287" spans="1:17" ht="12.75">
      <c r="A287" s="341"/>
      <c r="B287" s="295">
        <f t="shared" si="21"/>
        <v>0</v>
      </c>
      <c r="C287" s="194">
        <f t="shared" si="22"/>
        <v>0</v>
      </c>
      <c r="H287" s="56">
        <f t="shared" si="23"/>
        <v>0</v>
      </c>
      <c r="J287" s="299" t="s">
        <v>283</v>
      </c>
      <c r="K287" s="76">
        <f t="shared" si="20"/>
        <v>0</v>
      </c>
      <c r="L287" s="137"/>
      <c r="M287" s="17"/>
      <c r="N287" s="25"/>
      <c r="O287" s="25">
        <v>1</v>
      </c>
      <c r="P287" s="25"/>
      <c r="Q287" s="315"/>
    </row>
    <row r="288" spans="1:17" ht="12.75">
      <c r="A288" s="341"/>
      <c r="B288" s="295">
        <f t="shared" si="21"/>
        <v>0</v>
      </c>
      <c r="C288" s="194">
        <f t="shared" si="22"/>
        <v>0</v>
      </c>
      <c r="H288" s="56">
        <f t="shared" si="23"/>
        <v>0</v>
      </c>
      <c r="J288" s="299" t="s">
        <v>284</v>
      </c>
      <c r="K288" s="76">
        <f t="shared" si="20"/>
        <v>0</v>
      </c>
      <c r="L288" s="137"/>
      <c r="M288" s="17"/>
      <c r="N288" s="25"/>
      <c r="O288" s="25">
        <v>1</v>
      </c>
      <c r="P288" s="25"/>
      <c r="Q288" s="315"/>
    </row>
    <row r="289" spans="1:17" ht="12.75">
      <c r="A289" s="343"/>
      <c r="B289" s="114"/>
      <c r="J289" s="285" t="s">
        <v>285</v>
      </c>
      <c r="K289" s="87">
        <f t="shared" si="20"/>
        <v>0</v>
      </c>
      <c r="L289" s="308"/>
      <c r="M289" s="309"/>
      <c r="N289" s="310"/>
      <c r="O289" s="310"/>
      <c r="P289" s="311"/>
      <c r="Q289" s="315"/>
    </row>
    <row r="290" spans="1:17" ht="12.75">
      <c r="A290" s="327"/>
      <c r="B290" s="114"/>
      <c r="J290" s="298" t="s">
        <v>286</v>
      </c>
      <c r="K290" s="94">
        <f t="shared" si="20"/>
        <v>0</v>
      </c>
      <c r="L290" s="305"/>
      <c r="M290" s="157"/>
      <c r="N290" s="306"/>
      <c r="O290" s="306"/>
      <c r="P290" s="307"/>
      <c r="Q290" s="315"/>
    </row>
    <row r="291" spans="1:17" ht="12.75">
      <c r="A291" s="317" t="s">
        <v>220</v>
      </c>
      <c r="B291" s="114" t="b">
        <f>IF(A291="Yes",TRUE,FALSE)</f>
        <v>0</v>
      </c>
      <c r="C291" s="56" t="b">
        <f>B291</f>
        <v>0</v>
      </c>
      <c r="E291" s="56">
        <f>IF(OR(B292,B291),1,0)</f>
        <v>0</v>
      </c>
      <c r="F291" s="56">
        <f>IF(OR(B292,B291),1,0)</f>
        <v>0</v>
      </c>
      <c r="J291" s="299" t="s">
        <v>312</v>
      </c>
      <c r="K291" s="76">
        <f t="shared" si="20"/>
        <v>0</v>
      </c>
      <c r="L291" s="137">
        <v>1</v>
      </c>
      <c r="M291" s="17">
        <v>1</v>
      </c>
      <c r="N291" s="25"/>
      <c r="O291" s="25"/>
      <c r="P291" s="25"/>
      <c r="Q291" s="315"/>
    </row>
    <row r="292" spans="1:17" ht="12.75">
      <c r="A292" s="317" t="s">
        <v>220</v>
      </c>
      <c r="B292" s="114" t="b">
        <f>IF(A292="Yes",TRUE,FALSE)</f>
        <v>0</v>
      </c>
      <c r="C292" s="56" t="b">
        <f>B292</f>
        <v>0</v>
      </c>
      <c r="E292" s="56">
        <f>IF(B292,1,0)</f>
        <v>0</v>
      </c>
      <c r="F292" s="56">
        <f>IF(B292,1,0)</f>
        <v>0</v>
      </c>
      <c r="J292" s="299" t="s">
        <v>287</v>
      </c>
      <c r="K292" s="76">
        <f t="shared" si="20"/>
        <v>0</v>
      </c>
      <c r="L292" s="137">
        <v>1</v>
      </c>
      <c r="M292" s="17">
        <v>1</v>
      </c>
      <c r="N292" s="25"/>
      <c r="O292" s="25"/>
      <c r="P292" s="25"/>
      <c r="Q292" s="315"/>
    </row>
    <row r="293" spans="1:17" ht="12.75">
      <c r="A293" s="343"/>
      <c r="B293" s="114"/>
      <c r="J293" s="285" t="s">
        <v>308</v>
      </c>
      <c r="K293" s="87">
        <f t="shared" si="20"/>
        <v>0</v>
      </c>
      <c r="L293" s="308"/>
      <c r="M293" s="309"/>
      <c r="N293" s="310"/>
      <c r="O293" s="310"/>
      <c r="P293" s="311"/>
      <c r="Q293" s="315"/>
    </row>
    <row r="294" spans="1:17" ht="12.75">
      <c r="A294" s="327"/>
      <c r="B294" s="114"/>
      <c r="J294" s="285" t="s">
        <v>288</v>
      </c>
      <c r="K294" s="94">
        <f t="shared" si="20"/>
        <v>0</v>
      </c>
      <c r="L294" s="305"/>
      <c r="M294" s="157"/>
      <c r="N294" s="306"/>
      <c r="O294" s="306"/>
      <c r="P294" s="307"/>
      <c r="Q294" s="315"/>
    </row>
    <row r="295" spans="1:17" ht="12.75">
      <c r="A295" s="317" t="s">
        <v>220</v>
      </c>
      <c r="B295" s="114" t="b">
        <f>IF(A295="Yes",TRUE,FALSE)</f>
        <v>0</v>
      </c>
      <c r="C295" s="56" t="b">
        <f>B295</f>
        <v>0</v>
      </c>
      <c r="I295" s="56">
        <f>IF(C295,1,0)</f>
        <v>0</v>
      </c>
      <c r="J295" s="298" t="s">
        <v>289</v>
      </c>
      <c r="K295" s="76">
        <f t="shared" si="20"/>
        <v>0</v>
      </c>
      <c r="L295" s="137"/>
      <c r="M295" s="17"/>
      <c r="N295" s="25"/>
      <c r="O295" s="25"/>
      <c r="P295" s="25">
        <v>1</v>
      </c>
      <c r="Q295" s="315"/>
    </row>
    <row r="296" spans="1:17" ht="12.75">
      <c r="A296" s="317" t="s">
        <v>220</v>
      </c>
      <c r="B296" s="114" t="b">
        <f>IF(A296="Yes",TRUE,FALSE)</f>
        <v>0</v>
      </c>
      <c r="C296" s="56" t="b">
        <f>B296</f>
        <v>0</v>
      </c>
      <c r="I296" s="56">
        <f>IF(C296,2,0)</f>
        <v>0</v>
      </c>
      <c r="J296" s="298" t="s">
        <v>290</v>
      </c>
      <c r="K296" s="76">
        <f t="shared" si="20"/>
        <v>0</v>
      </c>
      <c r="L296" s="137"/>
      <c r="M296" s="17"/>
      <c r="N296" s="25"/>
      <c r="O296" s="25"/>
      <c r="P296" s="25">
        <v>2</v>
      </c>
      <c r="Q296" s="315"/>
    </row>
    <row r="297" spans="1:17" ht="13.5" customHeight="1">
      <c r="A297" s="317" t="s">
        <v>220</v>
      </c>
      <c r="B297" s="114" t="b">
        <f>IF(A297="Yes",TRUE,FALSE)</f>
        <v>0</v>
      </c>
      <c r="C297" s="56" t="b">
        <f>B297</f>
        <v>0</v>
      </c>
      <c r="I297" s="56">
        <f>IF(C297,1,0)</f>
        <v>0</v>
      </c>
      <c r="J297" s="298" t="s">
        <v>291</v>
      </c>
      <c r="K297" s="76">
        <f t="shared" si="20"/>
        <v>0</v>
      </c>
      <c r="L297" s="137"/>
      <c r="M297" s="17"/>
      <c r="N297" s="25"/>
      <c r="O297" s="25"/>
      <c r="P297" s="25">
        <v>1</v>
      </c>
      <c r="Q297" s="315"/>
    </row>
    <row r="298" spans="1:17" ht="12.75">
      <c r="A298" s="320"/>
      <c r="B298" s="295">
        <f>IF(A298&gt;0,(LOOKUP(A298,$V$9:$V$13,$U$9:$U$13)),0)</f>
        <v>0</v>
      </c>
      <c r="C298" s="194">
        <f>IF(B298=5,1,A298)</f>
        <v>0</v>
      </c>
      <c r="I298" s="56">
        <f>C298</f>
        <v>0</v>
      </c>
      <c r="J298" s="298" t="s">
        <v>292</v>
      </c>
      <c r="K298" s="76">
        <f t="shared" si="20"/>
        <v>0</v>
      </c>
      <c r="L298" s="137"/>
      <c r="M298" s="17"/>
      <c r="N298" s="25"/>
      <c r="O298" s="25"/>
      <c r="P298" s="25">
        <v>1</v>
      </c>
      <c r="Q298" s="315"/>
    </row>
    <row r="299" spans="1:17" ht="12.75">
      <c r="A299" s="317" t="s">
        <v>220</v>
      </c>
      <c r="B299" s="114" t="b">
        <f>IF(A299="Yes",TRUE,FALSE)</f>
        <v>0</v>
      </c>
      <c r="C299" s="56" t="b">
        <f>B299</f>
        <v>0</v>
      </c>
      <c r="F299" s="56">
        <f>IF(C299,1,0)</f>
        <v>0</v>
      </c>
      <c r="J299" s="298" t="s">
        <v>293</v>
      </c>
      <c r="K299" s="76">
        <f t="shared" si="20"/>
        <v>0</v>
      </c>
      <c r="L299" s="137"/>
      <c r="M299" s="17">
        <v>1</v>
      </c>
      <c r="N299" s="25"/>
      <c r="O299" s="25"/>
      <c r="P299" s="25"/>
      <c r="Q299" s="315"/>
    </row>
    <row r="300" spans="1:17" ht="12.75">
      <c r="A300" s="327"/>
      <c r="B300" s="114"/>
      <c r="J300" s="285" t="s">
        <v>294</v>
      </c>
      <c r="K300" s="76">
        <f t="shared" si="20"/>
        <v>0</v>
      </c>
      <c r="L300" s="312"/>
      <c r="M300" s="26"/>
      <c r="N300" s="313"/>
      <c r="O300" s="313"/>
      <c r="P300" s="137"/>
      <c r="Q300" s="315"/>
    </row>
    <row r="301" spans="1:17" ht="12.75">
      <c r="A301" s="340" t="s">
        <v>220</v>
      </c>
      <c r="B301" s="114" t="b">
        <f>IF(A301="Yes",TRUE,FALSE)</f>
        <v>0</v>
      </c>
      <c r="C301" s="56" t="b">
        <f>B301</f>
        <v>0</v>
      </c>
      <c r="G301" s="56">
        <f>IF(C301,1,0)</f>
        <v>0</v>
      </c>
      <c r="J301" s="298" t="s">
        <v>295</v>
      </c>
      <c r="K301" s="76">
        <f t="shared" si="20"/>
        <v>0</v>
      </c>
      <c r="L301" s="137"/>
      <c r="M301" s="17"/>
      <c r="N301" s="25">
        <v>1</v>
      </c>
      <c r="O301" s="25"/>
      <c r="P301" s="25"/>
      <c r="Q301" s="315"/>
    </row>
    <row r="302" spans="1:17" ht="12.75">
      <c r="A302" s="343"/>
      <c r="B302" s="114"/>
      <c r="J302" s="285" t="s">
        <v>309</v>
      </c>
      <c r="K302" s="87">
        <f t="shared" si="20"/>
        <v>0</v>
      </c>
      <c r="L302" s="308"/>
      <c r="M302" s="309"/>
      <c r="N302" s="310"/>
      <c r="O302" s="310"/>
      <c r="P302" s="311"/>
      <c r="Q302" s="315"/>
    </row>
    <row r="303" spans="1:17" ht="12.75">
      <c r="A303" s="327"/>
      <c r="B303" s="114"/>
      <c r="J303" s="285" t="s">
        <v>296</v>
      </c>
      <c r="K303" s="94">
        <f t="shared" si="20"/>
        <v>0</v>
      </c>
      <c r="L303" s="305"/>
      <c r="M303" s="157"/>
      <c r="N303" s="306"/>
      <c r="O303" s="306"/>
      <c r="P303" s="307"/>
      <c r="Q303" s="315"/>
    </row>
    <row r="304" spans="1:17" ht="12.75">
      <c r="A304" s="340" t="s">
        <v>220</v>
      </c>
      <c r="B304" s="114" t="b">
        <f>IF(A304="Yes",TRUE,FALSE)</f>
        <v>0</v>
      </c>
      <c r="C304" s="56" t="b">
        <f>B304</f>
        <v>0</v>
      </c>
      <c r="F304" s="56">
        <f>IF(C304,1,0)</f>
        <v>0</v>
      </c>
      <c r="J304" s="298" t="s">
        <v>297</v>
      </c>
      <c r="K304" s="76">
        <f t="shared" si="20"/>
        <v>0</v>
      </c>
      <c r="L304" s="137"/>
      <c r="M304" s="17">
        <v>1</v>
      </c>
      <c r="N304" s="25"/>
      <c r="O304" s="25"/>
      <c r="P304" s="25"/>
      <c r="Q304" s="315"/>
    </row>
    <row r="305" spans="1:24" s="73" customFormat="1" ht="12.75">
      <c r="A305" s="340" t="s">
        <v>220</v>
      </c>
      <c r="B305" s="114" t="b">
        <f>IF(A305="Yes",TRUE,FALSE)</f>
        <v>0</v>
      </c>
      <c r="C305" s="73" t="b">
        <f>B305</f>
        <v>0</v>
      </c>
      <c r="F305" s="73">
        <f>IF(C305,1,0)</f>
        <v>0</v>
      </c>
      <c r="J305" s="298" t="s">
        <v>311</v>
      </c>
      <c r="K305" s="76">
        <f t="shared" si="20"/>
        <v>0</v>
      </c>
      <c r="L305" s="137"/>
      <c r="M305" s="17">
        <v>1</v>
      </c>
      <c r="N305" s="25"/>
      <c r="O305" s="25"/>
      <c r="P305" s="25"/>
      <c r="Q305" s="315"/>
      <c r="R305" s="103"/>
      <c r="X305" s="243"/>
    </row>
    <row r="306" spans="1:24" s="73" customFormat="1" ht="12.75">
      <c r="A306" s="377" t="s">
        <v>220</v>
      </c>
      <c r="B306" s="114" t="b">
        <f>IF(A306="Yes",TRUE,FALSE)</f>
        <v>0</v>
      </c>
      <c r="C306" s="73" t="b">
        <f>B306</f>
        <v>0</v>
      </c>
      <c r="F306" s="73">
        <f>IF(C306,5,0)</f>
        <v>0</v>
      </c>
      <c r="J306" s="298" t="s">
        <v>346</v>
      </c>
      <c r="K306" s="76">
        <f t="shared" si="20"/>
        <v>0</v>
      </c>
      <c r="L306" s="137"/>
      <c r="M306" s="17">
        <v>5</v>
      </c>
      <c r="N306" s="25"/>
      <c r="O306" s="25"/>
      <c r="P306" s="25"/>
      <c r="Q306" s="315"/>
      <c r="R306" s="103"/>
      <c r="X306" s="243"/>
    </row>
    <row r="307" spans="1:17" ht="12.75">
      <c r="A307" s="343"/>
      <c r="B307" s="114"/>
      <c r="J307" s="285" t="s">
        <v>298</v>
      </c>
      <c r="K307" s="87">
        <f t="shared" si="20"/>
        <v>0</v>
      </c>
      <c r="L307" s="308"/>
      <c r="M307" s="309"/>
      <c r="N307" s="310"/>
      <c r="O307" s="310"/>
      <c r="P307" s="311"/>
      <c r="Q307" s="315"/>
    </row>
    <row r="308" spans="1:17" ht="12.75">
      <c r="A308" s="343"/>
      <c r="B308" s="114"/>
      <c r="C308" s="56">
        <f>B308</f>
        <v>0</v>
      </c>
      <c r="J308" s="285" t="s">
        <v>299</v>
      </c>
      <c r="K308" s="91">
        <f t="shared" si="20"/>
        <v>0</v>
      </c>
      <c r="L308" s="314"/>
      <c r="M308" s="166"/>
      <c r="N308" s="315"/>
      <c r="O308" s="315"/>
      <c r="P308" s="316"/>
      <c r="Q308" s="315"/>
    </row>
    <row r="309" spans="1:17" ht="12.75">
      <c r="A309" s="343"/>
      <c r="B309" s="114"/>
      <c r="J309" s="285" t="s">
        <v>300</v>
      </c>
      <c r="K309" s="91">
        <f t="shared" si="20"/>
        <v>0</v>
      </c>
      <c r="L309" s="314"/>
      <c r="M309" s="166"/>
      <c r="N309" s="315"/>
      <c r="O309" s="315"/>
      <c r="P309" s="316"/>
      <c r="Q309" s="315"/>
    </row>
    <row r="310" spans="1:17" ht="12.75">
      <c r="A310" s="327"/>
      <c r="B310" s="114"/>
      <c r="J310" s="285" t="s">
        <v>301</v>
      </c>
      <c r="K310" s="94">
        <f t="shared" si="20"/>
        <v>0</v>
      </c>
      <c r="L310" s="305"/>
      <c r="M310" s="157"/>
      <c r="N310" s="306"/>
      <c r="O310" s="306"/>
      <c r="P310" s="307"/>
      <c r="Q310" s="315"/>
    </row>
    <row r="311" spans="1:17" ht="12.75">
      <c r="A311" s="317" t="s">
        <v>220</v>
      </c>
      <c r="B311" s="114" t="b">
        <f>IF(A311="Yes",TRUE,FALSE)</f>
        <v>0</v>
      </c>
      <c r="C311" s="56" t="b">
        <f>B311</f>
        <v>0</v>
      </c>
      <c r="E311" s="56">
        <f>IF(C311,1,0)</f>
        <v>0</v>
      </c>
      <c r="J311" s="298" t="s">
        <v>302</v>
      </c>
      <c r="K311" s="76">
        <f t="shared" si="20"/>
        <v>0</v>
      </c>
      <c r="L311" s="137">
        <v>1</v>
      </c>
      <c r="M311" s="17"/>
      <c r="N311" s="25"/>
      <c r="O311" s="25"/>
      <c r="P311" s="25"/>
      <c r="Q311" s="315"/>
    </row>
    <row r="312" spans="1:17" ht="12.75">
      <c r="A312" s="317" t="s">
        <v>220</v>
      </c>
      <c r="B312" s="114" t="b">
        <f>IF(A312="Yes",TRUE,FALSE)</f>
        <v>0</v>
      </c>
      <c r="C312" s="56" t="b">
        <f>B312</f>
        <v>0</v>
      </c>
      <c r="E312" s="56">
        <f>IF(C312,1,0)</f>
        <v>0</v>
      </c>
      <c r="J312" s="298" t="s">
        <v>303</v>
      </c>
      <c r="K312" s="76">
        <f t="shared" si="20"/>
        <v>0</v>
      </c>
      <c r="L312" s="137">
        <v>1</v>
      </c>
      <c r="M312" s="17"/>
      <c r="N312" s="25"/>
      <c r="O312" s="25"/>
      <c r="P312" s="25"/>
      <c r="Q312" s="315"/>
    </row>
    <row r="313" spans="1:17" ht="29.25" customHeight="1">
      <c r="A313" s="328"/>
      <c r="B313" s="114"/>
      <c r="C313" s="216"/>
      <c r="D313" s="81"/>
      <c r="E313" s="82"/>
      <c r="F313" s="82"/>
      <c r="G313" s="82"/>
      <c r="H313" s="82"/>
      <c r="I313" s="82"/>
      <c r="J313" s="298" t="s">
        <v>335</v>
      </c>
      <c r="K313" s="76">
        <f t="shared" si="20"/>
        <v>0</v>
      </c>
      <c r="L313" s="312"/>
      <c r="M313" s="26"/>
      <c r="N313" s="313"/>
      <c r="O313" s="313"/>
      <c r="P313" s="137"/>
      <c r="Q313" s="315"/>
    </row>
    <row r="314" spans="1:17" ht="13.5">
      <c r="A314" s="317" t="s">
        <v>220</v>
      </c>
      <c r="B314" s="114" t="b">
        <f aca="true" t="shared" si="24" ref="B314:B321">IF(A314="Yes",TRUE,FALSE)</f>
        <v>0</v>
      </c>
      <c r="C314" s="219" t="b">
        <f>B314</f>
        <v>0</v>
      </c>
      <c r="D314" s="57"/>
      <c r="E314" s="297">
        <f>IF(L314="",0,IF($C314,L314,0))</f>
        <v>0</v>
      </c>
      <c r="F314" s="297">
        <f aca="true" t="shared" si="25" ref="F314:I321">IF(M314="",0,IF($C314,M314,0))</f>
        <v>0</v>
      </c>
      <c r="G314" s="297">
        <f t="shared" si="25"/>
        <v>0</v>
      </c>
      <c r="H314" s="297">
        <f t="shared" si="25"/>
        <v>0</v>
      </c>
      <c r="I314" s="297">
        <f t="shared" si="25"/>
        <v>0</v>
      </c>
      <c r="J314" s="300" t="s">
        <v>325</v>
      </c>
      <c r="K314" s="76">
        <f aca="true" t="shared" si="26" ref="K314:K321">SUM(D314:I314)</f>
        <v>0</v>
      </c>
      <c r="L314" s="345"/>
      <c r="M314" s="346"/>
      <c r="N314" s="346"/>
      <c r="O314" s="346"/>
      <c r="P314" s="346"/>
      <c r="Q314" s="366"/>
    </row>
    <row r="315" spans="1:17" ht="13.5">
      <c r="A315" s="317" t="s">
        <v>220</v>
      </c>
      <c r="B315" s="114" t="b">
        <f t="shared" si="24"/>
        <v>0</v>
      </c>
      <c r="C315" s="219" t="b">
        <f aca="true" t="shared" si="27" ref="C315:C321">B315</f>
        <v>0</v>
      </c>
      <c r="D315" s="57"/>
      <c r="E315" s="297">
        <f aca="true" t="shared" si="28" ref="E315:E321">IF(L315="",0,IF($C315,L315,0))</f>
        <v>0</v>
      </c>
      <c r="F315" s="297">
        <f t="shared" si="25"/>
        <v>0</v>
      </c>
      <c r="G315" s="297">
        <f t="shared" si="25"/>
        <v>0</v>
      </c>
      <c r="H315" s="297">
        <f t="shared" si="25"/>
        <v>0</v>
      </c>
      <c r="I315" s="297">
        <f t="shared" si="25"/>
        <v>0</v>
      </c>
      <c r="J315" s="300" t="s">
        <v>326</v>
      </c>
      <c r="K315" s="76">
        <f t="shared" si="26"/>
        <v>0</v>
      </c>
      <c r="L315" s="345"/>
      <c r="M315" s="346"/>
      <c r="N315" s="346"/>
      <c r="O315" s="346"/>
      <c r="P315" s="346"/>
      <c r="Q315" s="366"/>
    </row>
    <row r="316" spans="1:17" ht="13.5">
      <c r="A316" s="317" t="s">
        <v>220</v>
      </c>
      <c r="B316" s="114" t="b">
        <f t="shared" si="24"/>
        <v>0</v>
      </c>
      <c r="C316" s="219" t="b">
        <f t="shared" si="27"/>
        <v>0</v>
      </c>
      <c r="D316" s="57"/>
      <c r="E316" s="297">
        <f t="shared" si="28"/>
        <v>0</v>
      </c>
      <c r="F316" s="297">
        <f t="shared" si="25"/>
        <v>0</v>
      </c>
      <c r="G316" s="297">
        <f t="shared" si="25"/>
        <v>0</v>
      </c>
      <c r="H316" s="297">
        <f t="shared" si="25"/>
        <v>0</v>
      </c>
      <c r="I316" s="297">
        <f t="shared" si="25"/>
        <v>0</v>
      </c>
      <c r="J316" s="300" t="s">
        <v>327</v>
      </c>
      <c r="K316" s="76">
        <f t="shared" si="26"/>
        <v>0</v>
      </c>
      <c r="L316" s="345"/>
      <c r="M316" s="346"/>
      <c r="N316" s="346"/>
      <c r="O316" s="346"/>
      <c r="P316" s="346"/>
      <c r="Q316" s="366"/>
    </row>
    <row r="317" spans="1:17" ht="13.5">
      <c r="A317" s="317" t="s">
        <v>220</v>
      </c>
      <c r="B317" s="114" t="b">
        <f t="shared" si="24"/>
        <v>0</v>
      </c>
      <c r="C317" s="219" t="b">
        <f t="shared" si="27"/>
        <v>0</v>
      </c>
      <c r="D317" s="57"/>
      <c r="E317" s="297">
        <f t="shared" si="28"/>
        <v>0</v>
      </c>
      <c r="F317" s="297">
        <f t="shared" si="25"/>
        <v>0</v>
      </c>
      <c r="G317" s="297">
        <f t="shared" si="25"/>
        <v>0</v>
      </c>
      <c r="H317" s="297">
        <f t="shared" si="25"/>
        <v>0</v>
      </c>
      <c r="I317" s="297">
        <f t="shared" si="25"/>
        <v>0</v>
      </c>
      <c r="J317" s="300" t="s">
        <v>328</v>
      </c>
      <c r="K317" s="76">
        <f t="shared" si="26"/>
        <v>0</v>
      </c>
      <c r="L317" s="345"/>
      <c r="M317" s="346"/>
      <c r="N317" s="346"/>
      <c r="O317" s="346"/>
      <c r="P317" s="346"/>
      <c r="Q317" s="366"/>
    </row>
    <row r="318" spans="1:23" ht="13.5">
      <c r="A318" s="317" t="s">
        <v>220</v>
      </c>
      <c r="B318" s="114" t="b">
        <f t="shared" si="24"/>
        <v>0</v>
      </c>
      <c r="C318" s="219" t="b">
        <f t="shared" si="27"/>
        <v>0</v>
      </c>
      <c r="D318" s="100"/>
      <c r="E318" s="297">
        <f t="shared" si="28"/>
        <v>0</v>
      </c>
      <c r="F318" s="297">
        <f t="shared" si="25"/>
        <v>0</v>
      </c>
      <c r="G318" s="297">
        <f t="shared" si="25"/>
        <v>0</v>
      </c>
      <c r="H318" s="297">
        <f t="shared" si="25"/>
        <v>0</v>
      </c>
      <c r="I318" s="297">
        <f t="shared" si="25"/>
        <v>0</v>
      </c>
      <c r="J318" s="300" t="s">
        <v>329</v>
      </c>
      <c r="K318" s="76">
        <f t="shared" si="26"/>
        <v>0</v>
      </c>
      <c r="L318" s="345"/>
      <c r="M318" s="346"/>
      <c r="N318" s="346"/>
      <c r="O318" s="346"/>
      <c r="P318" s="346"/>
      <c r="Q318" s="366"/>
      <c r="T318" s="65"/>
      <c r="U318" s="65"/>
      <c r="V318" s="65"/>
      <c r="W318" s="65"/>
    </row>
    <row r="319" spans="1:23" ht="13.5">
      <c r="A319" s="317" t="s">
        <v>220</v>
      </c>
      <c r="B319" s="114" t="b">
        <f t="shared" si="24"/>
        <v>0</v>
      </c>
      <c r="C319" s="219" t="b">
        <f t="shared" si="27"/>
        <v>0</v>
      </c>
      <c r="D319" s="100"/>
      <c r="E319" s="297">
        <f t="shared" si="28"/>
        <v>0</v>
      </c>
      <c r="F319" s="297">
        <f t="shared" si="25"/>
        <v>0</v>
      </c>
      <c r="G319" s="297">
        <f t="shared" si="25"/>
        <v>0</v>
      </c>
      <c r="H319" s="297">
        <f t="shared" si="25"/>
        <v>0</v>
      </c>
      <c r="I319" s="297">
        <f t="shared" si="25"/>
        <v>0</v>
      </c>
      <c r="J319" s="300" t="s">
        <v>330</v>
      </c>
      <c r="K319" s="76">
        <f t="shared" si="26"/>
        <v>0</v>
      </c>
      <c r="L319" s="345"/>
      <c r="M319" s="346"/>
      <c r="N319" s="346"/>
      <c r="O319" s="346"/>
      <c r="P319" s="346"/>
      <c r="Q319" s="366"/>
      <c r="T319" s="65"/>
      <c r="U319" s="65"/>
      <c r="V319" s="65"/>
      <c r="W319" s="65"/>
    </row>
    <row r="320" spans="1:23" ht="13.5">
      <c r="A320" s="317" t="s">
        <v>220</v>
      </c>
      <c r="B320" s="114" t="b">
        <f t="shared" si="24"/>
        <v>0</v>
      </c>
      <c r="C320" s="219" t="b">
        <f t="shared" si="27"/>
        <v>0</v>
      </c>
      <c r="D320" s="100"/>
      <c r="E320" s="297">
        <f t="shared" si="28"/>
        <v>0</v>
      </c>
      <c r="F320" s="297">
        <f t="shared" si="25"/>
        <v>0</v>
      </c>
      <c r="G320" s="297">
        <f t="shared" si="25"/>
        <v>0</v>
      </c>
      <c r="H320" s="297">
        <f t="shared" si="25"/>
        <v>0</v>
      </c>
      <c r="I320" s="297">
        <f t="shared" si="25"/>
        <v>0</v>
      </c>
      <c r="J320" s="300" t="s">
        <v>331</v>
      </c>
      <c r="K320" s="76">
        <f t="shared" si="26"/>
        <v>0</v>
      </c>
      <c r="L320" s="345"/>
      <c r="M320" s="346"/>
      <c r="N320" s="346"/>
      <c r="O320" s="346"/>
      <c r="P320" s="346"/>
      <c r="Q320" s="366"/>
      <c r="T320" s="65"/>
      <c r="U320" s="65"/>
      <c r="V320" s="65"/>
      <c r="W320" s="65"/>
    </row>
    <row r="321" spans="1:23" ht="13.5">
      <c r="A321" s="317" t="s">
        <v>220</v>
      </c>
      <c r="B321" s="114" t="b">
        <f t="shared" si="24"/>
        <v>0</v>
      </c>
      <c r="C321" s="219" t="b">
        <f t="shared" si="27"/>
        <v>0</v>
      </c>
      <c r="D321" s="100"/>
      <c r="E321" s="297">
        <f t="shared" si="28"/>
        <v>0</v>
      </c>
      <c r="F321" s="297">
        <f t="shared" si="25"/>
        <v>0</v>
      </c>
      <c r="G321" s="297">
        <f t="shared" si="25"/>
        <v>0</v>
      </c>
      <c r="H321" s="297">
        <f t="shared" si="25"/>
        <v>0</v>
      </c>
      <c r="I321" s="297">
        <f t="shared" si="25"/>
        <v>0</v>
      </c>
      <c r="J321" s="300" t="s">
        <v>332</v>
      </c>
      <c r="K321" s="76">
        <f t="shared" si="26"/>
        <v>0</v>
      </c>
      <c r="L321" s="345"/>
      <c r="M321" s="346"/>
      <c r="N321" s="346"/>
      <c r="O321" s="346"/>
      <c r="P321" s="346"/>
      <c r="Q321" s="366"/>
      <c r="T321" s="65"/>
      <c r="U321" s="65"/>
      <c r="V321" s="65"/>
      <c r="W321" s="65"/>
    </row>
    <row r="322" spans="1:23" ht="12.75">
      <c r="A322" s="99"/>
      <c r="B322" s="159"/>
      <c r="C322" s="159"/>
      <c r="D322" s="159"/>
      <c r="E322" s="85"/>
      <c r="F322" s="85"/>
      <c r="G322" s="85"/>
      <c r="H322" s="85"/>
      <c r="I322" s="85"/>
      <c r="J322" s="121" t="s">
        <v>305</v>
      </c>
      <c r="K322" s="141">
        <f>SUM(K272:K321)</f>
        <v>0</v>
      </c>
      <c r="L322" s="167">
        <v>0</v>
      </c>
      <c r="M322" s="167"/>
      <c r="N322" s="167"/>
      <c r="O322" s="167"/>
      <c r="P322" s="167"/>
      <c r="Q322" s="169"/>
      <c r="S322" s="168"/>
      <c r="T322" s="168"/>
      <c r="U322" s="168"/>
      <c r="V322" s="168"/>
      <c r="W322" s="169"/>
    </row>
    <row r="323" spans="1:24" s="73" customFormat="1" ht="18">
      <c r="A323" s="6" t="s">
        <v>125</v>
      </c>
      <c r="B323" s="170"/>
      <c r="C323" s="170"/>
      <c r="D323" s="170"/>
      <c r="E323" s="66"/>
      <c r="F323" s="66"/>
      <c r="G323" s="66"/>
      <c r="H323" s="66"/>
      <c r="I323" s="66"/>
      <c r="J323" s="4"/>
      <c r="K323" s="332"/>
      <c r="L323" s="333"/>
      <c r="M323" s="333"/>
      <c r="N323" s="333"/>
      <c r="O323" s="333"/>
      <c r="P323" s="333"/>
      <c r="Q323" s="372"/>
      <c r="S323" s="7"/>
      <c r="T323" s="7"/>
      <c r="U323" s="7"/>
      <c r="V323" s="7"/>
      <c r="W323" s="8"/>
      <c r="X323" s="243"/>
    </row>
    <row r="324" spans="1:23" ht="12.75">
      <c r="A324" s="80"/>
      <c r="B324" s="57"/>
      <c r="C324" s="57"/>
      <c r="D324" s="57"/>
      <c r="E324" s="57"/>
      <c r="F324" s="57"/>
      <c r="G324" s="57"/>
      <c r="H324" s="57"/>
      <c r="I324" s="57"/>
      <c r="J324" s="171" t="s">
        <v>142</v>
      </c>
      <c r="K324" s="334" t="s">
        <v>225</v>
      </c>
      <c r="L324" s="173">
        <f>SUM(L11:L322)</f>
        <v>26</v>
      </c>
      <c r="M324" s="173">
        <f>SUM(M11:M322)</f>
        <v>93</v>
      </c>
      <c r="N324" s="173">
        <f>SUM(N11:N322)</f>
        <v>47</v>
      </c>
      <c r="O324" s="173">
        <f>SUM(O11:O322)</f>
        <v>79</v>
      </c>
      <c r="P324" s="173">
        <f>SUM(P11:P322)</f>
        <v>44</v>
      </c>
      <c r="Q324" s="169"/>
      <c r="T324" s="65"/>
      <c r="U324" s="65"/>
      <c r="V324" s="65"/>
      <c r="W324" s="65"/>
    </row>
    <row r="325" spans="1:17" ht="14.25" customHeight="1">
      <c r="A325" s="80"/>
      <c r="B325" s="57"/>
      <c r="C325" s="57"/>
      <c r="D325" s="57"/>
      <c r="E325" s="57"/>
      <c r="F325" s="57"/>
      <c r="G325" s="57"/>
      <c r="H325" s="57"/>
      <c r="I325" s="57"/>
      <c r="J325" s="171" t="s">
        <v>227</v>
      </c>
      <c r="K325" s="334">
        <v>50</v>
      </c>
      <c r="L325" s="173">
        <v>0</v>
      </c>
      <c r="M325" s="174">
        <v>20</v>
      </c>
      <c r="N325" s="174">
        <v>5</v>
      </c>
      <c r="O325" s="174">
        <v>6</v>
      </c>
      <c r="P325" s="174">
        <v>8</v>
      </c>
      <c r="Q325" s="169"/>
    </row>
    <row r="326" spans="1:17" ht="14.25" customHeight="1">
      <c r="A326" s="80"/>
      <c r="B326" s="57"/>
      <c r="C326" s="57"/>
      <c r="D326" s="57"/>
      <c r="E326" s="57"/>
      <c r="F326" s="57"/>
      <c r="G326" s="57"/>
      <c r="H326" s="57"/>
      <c r="I326" s="57"/>
      <c r="J326" s="34" t="s">
        <v>228</v>
      </c>
      <c r="K326" s="335">
        <v>25</v>
      </c>
      <c r="L326" s="36">
        <v>0</v>
      </c>
      <c r="M326" s="37">
        <v>8</v>
      </c>
      <c r="N326" s="37">
        <v>2</v>
      </c>
      <c r="O326" s="37">
        <v>2</v>
      </c>
      <c r="P326" s="37">
        <v>4</v>
      </c>
      <c r="Q326" s="184"/>
    </row>
    <row r="327" spans="1:19" ht="15.75">
      <c r="A327" s="175"/>
      <c r="B327" s="176"/>
      <c r="C327" s="176"/>
      <c r="D327" s="176"/>
      <c r="E327" s="176"/>
      <c r="F327" s="176"/>
      <c r="G327" s="176"/>
      <c r="H327" s="176"/>
      <c r="I327" s="176"/>
      <c r="J327" s="9" t="s">
        <v>130</v>
      </c>
      <c r="K327" s="336">
        <f>IF(N3="Whole House",SUM(L327:P327),MIN(49,SUM(L327:P327)))</f>
        <v>0</v>
      </c>
      <c r="L327" s="10">
        <f>SUM($E$11:$E$321)</f>
        <v>0</v>
      </c>
      <c r="M327" s="10">
        <f>SUM($F$11:$F$321)</f>
        <v>0</v>
      </c>
      <c r="N327" s="10">
        <f>SUM($G$11:$G$321)</f>
        <v>0</v>
      </c>
      <c r="O327" s="10">
        <f>SUM($H$11:$H$321)</f>
        <v>0</v>
      </c>
      <c r="P327" s="10">
        <f>SUM($I$11:$I$321)</f>
        <v>0</v>
      </c>
      <c r="Q327" s="8"/>
      <c r="S327" s="56">
        <f>SUM(L327:P327)</f>
        <v>0</v>
      </c>
    </row>
    <row r="329" ht="12.75" hidden="1">
      <c r="A329" s="197" t="str">
        <f>IF(AND($S$327&gt;49,$M$327&gt;20,$N$327&gt;5,$O$327&gt;=6,$P$327&gt;=8,OR($B$47:$C$47),$B$56,$B$121,$B$145,$B$148,$B$152,$B$180,$B$182,$B$210,$B$253,$B$262),"Project has met all recommended minimum requirements for GreenPoint Rated Whole House","Project has not yet met the recommended minimum requirements for GreenPoint Rated Whole House:")</f>
        <v>Project has not yet met the recommended minimum requirements for GreenPoint Rated Whole House:</v>
      </c>
    </row>
    <row r="330" ht="12.75" hidden="1">
      <c r="A330" s="38" t="str">
        <f>IF($S$327&lt;50,"    - Total Project Score of At Least 50 Points","    - Total Project Score of At Least 50 Points ")</f>
        <v>    - Total Project Score of At Least 50 Points</v>
      </c>
    </row>
    <row r="331" spans="1:18" ht="12.75" hidden="1">
      <c r="A331" s="198" t="str">
        <f>IF(AND(OR($B$47,$C$47),$B$56,$B$121,$B$145,$B$148,$B$152,$B$180,$B$182,$B$210,$B$253,$B$262),"    - Required measures: ","    - Required measures:")</f>
        <v>    - Required measures:</v>
      </c>
      <c r="K331" s="56"/>
      <c r="L331" s="56"/>
      <c r="M331" s="56"/>
      <c r="N331" s="56"/>
      <c r="O331" s="56"/>
      <c r="P331" s="56"/>
      <c r="Q331" s="73"/>
      <c r="R331" s="56"/>
    </row>
    <row r="332" ht="12.75" hidden="1">
      <c r="A332" s="198" t="str">
        <f>IF($B$47=FALSE,"          -A2a: Divert All Cardboard, Concrete and Metals","          -A2a: Divert All Cardboard, Concrete and Metals ")</f>
        <v>          -A2a: Divert All Cardboard, Concrete and Metals</v>
      </c>
    </row>
    <row r="333" ht="12.75" hidden="1">
      <c r="A333" s="199" t="str">
        <f>IF(($B$56=FALSE),"          -B2: Moisture Source Verification and Correction","          -B2: Moisture Source Verification and Correction ")</f>
        <v>          -B2: Moisture Source Verification and Correction</v>
      </c>
    </row>
    <row r="334" ht="12.75" hidden="1">
      <c r="A334" s="200" t="str">
        <f>IF(($B$121=FALSE),"          -D9: Sound Exterior Assemblies","          -D9: Sound Exterior Assemblies ")</f>
        <v>          -D9: Sound Exterior Assemblies</v>
      </c>
    </row>
    <row r="335" ht="12.75" hidden="1">
      <c r="A335" s="201" t="str">
        <f>IF(($B$145=FALSE),"          -G3a: All Fixtures Meet Federal Energy Policy Act","          -G3a: All Fixtures Meet Federal Energy Policy Act ")</f>
        <v>          -G3a: All Fixtures Meet Federal Energy Policy Act</v>
      </c>
    </row>
    <row r="336" ht="12.75" hidden="1">
      <c r="A336" s="201" t="str">
        <f>IF($B$148=FALSE,"          -G4: Plumbing System Integrity and No Plumbing Leaks","          -G4: Plumbing System Integrity and No Plumbing Leaks ")</f>
        <v>          -G4: Plumbing System Integrity and No Plumbing Leaks</v>
      </c>
    </row>
    <row r="337" ht="12.75" hidden="1">
      <c r="A337" s="201" t="str">
        <f>IF((B152=FALSE),"          -H1a: Visual Survey of Installation of HVAC Equipment ","          -H1a: Visual Survey of Installation of HVAC Equipment  ")</f>
        <v>          -H1a: Visual Survey of Installation of HVAC Equipment </v>
      </c>
    </row>
    <row r="338" ht="12.75" hidden="1">
      <c r="A338" s="201" t="str">
        <f>IF(($B$180=FALSE),"          -H12a: Carbon Monoxide Testing and Correction","          -H12a: Carbon Monoxide Testing and Correction ")</f>
        <v>          -H12a: Carbon Monoxide Testing and Correction</v>
      </c>
    </row>
    <row r="339" ht="12.75" hidden="1">
      <c r="A339" s="201" t="str">
        <f>IF(($B$182=FALSE),"          -H13: Combustion Safety Backdraft Test","          -H13: Combustion Safety Backdraft Test ")</f>
        <v>          -H13: Combustion Safety Backdraft Test</v>
      </c>
    </row>
    <row r="340" ht="12.75" hidden="1">
      <c r="A340" s="201" t="str">
        <f>IF(($B$210=FALSE),"          -J3a: Meet Energy Budget for Home Based on Year (includes blower door test)","          -J3a: Meet Energy Budget for Home Based on Year (includes blower door test) ")</f>
        <v>          -J3a: Meet Energy Budget for Home Based on Year (includes blower door test)</v>
      </c>
    </row>
    <row r="341" ht="12.75" hidden="1">
      <c r="A341" s="351" t="str">
        <f>IF(($B$253=FALSE),"          -M5: Electrical Survey","          -M5: Electrical Survey ")</f>
        <v>          -M5: Electrical Survey</v>
      </c>
    </row>
    <row r="342" ht="12.75" hidden="1">
      <c r="A342" s="201" t="str">
        <f>IF(B262=FALSE,"          -N1: Incorporate GreenPoint Checklist in Blueprints or Distribute Checklist","          -N1: Incorporate GreenPoint Checklist in Blueprints or Distribute Checklist ")</f>
        <v>          -N1: Incorporate GreenPoint Checklist in Blueprints or Distribute Checklist</v>
      </c>
    </row>
    <row r="343" ht="12.75" hidden="1">
      <c r="A343" s="38" t="str">
        <f>IF(OR($M$327&lt;20,$N$327&lt;5,$O$327&lt;6,$P$327&lt;8),"    - Minimum points in specific categories:","    - Minimum points in specific categories: ")</f>
        <v>    - Minimum points in specific categories:</v>
      </c>
    </row>
    <row r="344" ht="12.75" hidden="1">
      <c r="A344" s="38" t="str">
        <f>IF(($M$327&lt;20),"          -Energy (20 points)","          -Energy (20 points) ")</f>
        <v>          -Energy (20 points)</v>
      </c>
    </row>
    <row r="345" spans="1:23" ht="12.75" hidden="1">
      <c r="A345" s="38" t="str">
        <f>IF($N$327&lt;5,"          -IAQ/Health (5 points)","          -IAQ/Health (5 points) ")</f>
        <v>          -IAQ/Health (5 points)</v>
      </c>
      <c r="K345" s="202"/>
      <c r="L345" s="203"/>
      <c r="M345" s="203"/>
      <c r="N345" s="203"/>
      <c r="O345" s="203"/>
      <c r="P345" s="203"/>
      <c r="Q345" s="373"/>
      <c r="R345" s="204"/>
      <c r="S345" s="205"/>
      <c r="T345" s="205"/>
      <c r="U345" s="205"/>
      <c r="V345" s="205"/>
      <c r="W345" s="205"/>
    </row>
    <row r="346" ht="12.75" hidden="1">
      <c r="A346" s="38" t="str">
        <f>IF($O$327&lt;6,"          -Resources (6 points)","          -Resources (6 points) ")</f>
        <v>          -Resources (6 points)</v>
      </c>
    </row>
    <row r="347" ht="12.75" hidden="1">
      <c r="A347" s="38" t="str">
        <f>IF($P$327&lt;8,"          -Water (8 points)","          -Water (8 points) ")</f>
        <v>          -Water (8 points)</v>
      </c>
    </row>
    <row r="348" ht="12.75" hidden="1">
      <c r="A348" s="200"/>
    </row>
    <row r="349" spans="1:24" s="206" customFormat="1" ht="12.75">
      <c r="A349" s="197" t="str">
        <f>IF(AND(K327&gt;25,M327&gt;8,N327&gt;2,O327&gt;2,P327&gt;4,B47,B148,B152,B192,B262),"Project has met all recommended minimum requirements for GreenPoint Rated Elements","Project has not yet met the recommended minimum requirements for GreenPoint Rated Elements:")</f>
        <v>Project has not yet met the recommended minimum requirements for GreenPoint Rated Elements:</v>
      </c>
      <c r="E349" s="207"/>
      <c r="F349" s="207"/>
      <c r="G349" s="207"/>
      <c r="H349" s="207"/>
      <c r="I349" s="207"/>
      <c r="J349" s="208"/>
      <c r="K349" s="209"/>
      <c r="L349" s="210"/>
      <c r="M349" s="210"/>
      <c r="N349" s="210"/>
      <c r="O349" s="210"/>
      <c r="P349" s="210"/>
      <c r="Q349" s="374"/>
      <c r="R349" s="211"/>
      <c r="S349" s="212"/>
      <c r="X349" s="249"/>
    </row>
    <row r="350" spans="1:24" s="206" customFormat="1" ht="12.75">
      <c r="A350" s="38" t="str">
        <f>IF($K$327&lt;25,"    - Total Project Score of At Least 25 Points","    - Total Project Score of At Least 25 Points ")</f>
        <v>    - Total Project Score of At Least 25 Points</v>
      </c>
      <c r="E350" s="207"/>
      <c r="F350" s="207"/>
      <c r="G350" s="207"/>
      <c r="H350" s="207"/>
      <c r="I350" s="207"/>
      <c r="J350" s="208"/>
      <c r="K350" s="209"/>
      <c r="L350" s="209"/>
      <c r="M350" s="210"/>
      <c r="N350" s="210"/>
      <c r="O350" s="210"/>
      <c r="P350" s="210"/>
      <c r="Q350" s="374"/>
      <c r="R350" s="210"/>
      <c r="S350" s="211"/>
      <c r="T350" s="212"/>
      <c r="X350" s="249"/>
    </row>
    <row r="351" spans="1:24" s="206" customFormat="1" ht="12.75">
      <c r="A351" s="198" t="str">
        <f>IF(AND(B47,B148,B152,B192,B262),"    - Required measures: ","    - Required measures:")</f>
        <v>    - Required measures:</v>
      </c>
      <c r="E351" s="207"/>
      <c r="F351" s="207"/>
      <c r="G351" s="207"/>
      <c r="H351" s="207"/>
      <c r="I351" s="207"/>
      <c r="J351" s="208"/>
      <c r="K351" s="209"/>
      <c r="L351" s="210"/>
      <c r="M351" s="210"/>
      <c r="N351" s="210"/>
      <c r="O351" s="210"/>
      <c r="P351" s="210"/>
      <c r="Q351" s="374"/>
      <c r="R351" s="211"/>
      <c r="S351" s="213"/>
      <c r="T351" s="211"/>
      <c r="U351" s="211"/>
      <c r="V351" s="211"/>
      <c r="W351" s="211"/>
      <c r="X351" s="250"/>
    </row>
    <row r="352" spans="1:24" s="206" customFormat="1" ht="12.75">
      <c r="A352" s="198" t="str">
        <f>IF($B$47=FALSE,"          -A2a: Divert All Cardboard, Concrete and Metals","          -A2a: Divert All Cardboard, Concrete and Metals ")</f>
        <v>          -A2a: Divert All Cardboard, Concrete and Metals</v>
      </c>
      <c r="E352" s="207"/>
      <c r="F352" s="207"/>
      <c r="G352" s="207"/>
      <c r="H352" s="207"/>
      <c r="I352" s="207"/>
      <c r="J352" s="208"/>
      <c r="K352" s="209"/>
      <c r="L352" s="210"/>
      <c r="M352" s="210"/>
      <c r="N352" s="210"/>
      <c r="O352" s="210"/>
      <c r="P352" s="210"/>
      <c r="Q352" s="374"/>
      <c r="R352" s="211"/>
      <c r="S352" s="213"/>
      <c r="T352" s="211"/>
      <c r="U352" s="211"/>
      <c r="V352" s="211"/>
      <c r="W352" s="211"/>
      <c r="X352" s="250"/>
    </row>
    <row r="353" spans="1:24" s="206" customFormat="1" ht="12.75">
      <c r="A353" s="201" t="str">
        <f>IF($B$148=FALSE,"          -G4: Plumbing System Integrity and No Plumbing Leaks","          -G4: Plumbing System Integrity and No Plumbing Leaks ")</f>
        <v>          -G4: Plumbing System Integrity and No Plumbing Leaks</v>
      </c>
      <c r="E353" s="207"/>
      <c r="F353" s="207"/>
      <c r="G353" s="207"/>
      <c r="H353" s="207"/>
      <c r="I353" s="207"/>
      <c r="J353" s="208"/>
      <c r="K353" s="209"/>
      <c r="L353" s="210"/>
      <c r="M353" s="209"/>
      <c r="N353" s="210"/>
      <c r="O353" s="210"/>
      <c r="P353" s="210"/>
      <c r="Q353" s="374"/>
      <c r="R353" s="210"/>
      <c r="S353" s="210"/>
      <c r="T353" s="211"/>
      <c r="U353" s="212"/>
      <c r="X353" s="249"/>
    </row>
    <row r="354" spans="1:24" s="206" customFormat="1" ht="12.75">
      <c r="A354" s="201" t="str">
        <f>IF((B152=FALSE),"          -H1a: Visual Survey of Installation of HVAC Equipment ","          -H1a: Visual Survey of Installation of HVAC Equipment  ")</f>
        <v>          -H1a: Visual Survey of Installation of HVAC Equipment </v>
      </c>
      <c r="E354" s="207"/>
      <c r="F354" s="207"/>
      <c r="G354" s="207"/>
      <c r="H354" s="207"/>
      <c r="I354" s="207"/>
      <c r="J354" s="208"/>
      <c r="K354" s="209"/>
      <c r="L354" s="210"/>
      <c r="M354" s="209"/>
      <c r="N354" s="210"/>
      <c r="O354" s="210"/>
      <c r="P354" s="210"/>
      <c r="Q354" s="374"/>
      <c r="R354" s="210"/>
      <c r="S354" s="210"/>
      <c r="T354" s="211"/>
      <c r="U354" s="212"/>
      <c r="X354" s="249"/>
    </row>
    <row r="355" spans="1:24" s="206" customFormat="1" ht="12.75">
      <c r="A355" s="201" t="str">
        <f>IF(AND(B210=FALSE,B192=FALSE),"          -J1:  Energy Survey and Education OR J3a: Meet Energy Budget for Home Based on Year","          -J1:  Energy Survey and Education OR J3a: Meet Energy Budget for Home Based on Year ")</f>
        <v>          -J1:  Energy Survey and Education OR J3a: Meet Energy Budget for Home Based on Year</v>
      </c>
      <c r="E355" s="207"/>
      <c r="F355" s="207"/>
      <c r="G355" s="207"/>
      <c r="H355" s="207"/>
      <c r="I355" s="207"/>
      <c r="J355" s="208"/>
      <c r="K355" s="209"/>
      <c r="L355" s="210"/>
      <c r="M355" s="210"/>
      <c r="N355" s="210"/>
      <c r="O355" s="210"/>
      <c r="P355" s="210"/>
      <c r="Q355" s="374"/>
      <c r="R355" s="211"/>
      <c r="S355" s="212"/>
      <c r="X355" s="249"/>
    </row>
    <row r="356" spans="1:24" s="206" customFormat="1" ht="12.75">
      <c r="A356" s="201" t="str">
        <f>IF(B262=FALSE,"          -N1: Incorporate GreenPoint Checklist in Blueprints or Distribute Checklist","          -N1: Incorporate GreenPoint Checklist in Blueprints or Distribute Checklist ")</f>
        <v>          -N1: Incorporate GreenPoint Checklist in Blueprints or Distribute Checklist</v>
      </c>
      <c r="E356" s="207"/>
      <c r="F356" s="207"/>
      <c r="G356" s="207"/>
      <c r="H356" s="207"/>
      <c r="I356" s="207"/>
      <c r="J356" s="208"/>
      <c r="K356" s="209"/>
      <c r="L356" s="210"/>
      <c r="M356" s="210"/>
      <c r="N356" s="210"/>
      <c r="O356" s="210"/>
      <c r="P356" s="210"/>
      <c r="Q356" s="374"/>
      <c r="R356" s="211"/>
      <c r="S356" s="212"/>
      <c r="X356" s="249"/>
    </row>
    <row r="357" spans="1:24" s="206" customFormat="1" ht="12.75">
      <c r="A357" s="38" t="str">
        <f>IF(OR(M327&lt;8,N327&lt;2,O327&lt;2,P327&lt;4),"    - Minimum points in specific categories:","    - Minimum points in specific categories: ")</f>
        <v>    - Minimum points in specific categories:</v>
      </c>
      <c r="E357" s="207"/>
      <c r="F357" s="207"/>
      <c r="G357" s="207"/>
      <c r="H357" s="207"/>
      <c r="I357" s="207"/>
      <c r="J357" s="208"/>
      <c r="K357" s="209"/>
      <c r="L357" s="210"/>
      <c r="M357" s="210"/>
      <c r="N357" s="210"/>
      <c r="O357" s="210"/>
      <c r="P357" s="210"/>
      <c r="Q357" s="374"/>
      <c r="R357" s="211"/>
      <c r="S357" s="212"/>
      <c r="X357" s="249"/>
    </row>
    <row r="358" spans="1:24" s="206" customFormat="1" ht="12.75">
      <c r="A358" s="38" t="str">
        <f>IF((M327&lt;8),"          -Energy (8 points)","          -Energy (8 points) ")</f>
        <v>          -Energy (8 points)</v>
      </c>
      <c r="E358" s="207"/>
      <c r="F358" s="207"/>
      <c r="G358" s="207"/>
      <c r="H358" s="207"/>
      <c r="I358" s="207"/>
      <c r="J358" s="208"/>
      <c r="K358" s="209"/>
      <c r="L358" s="210"/>
      <c r="M358" s="210"/>
      <c r="N358" s="210"/>
      <c r="O358" s="210"/>
      <c r="P358" s="210"/>
      <c r="Q358" s="374"/>
      <c r="R358" s="211"/>
      <c r="S358" s="212"/>
      <c r="X358" s="249"/>
    </row>
    <row r="359" spans="1:24" s="206" customFormat="1" ht="12.75">
      <c r="A359" s="38" t="str">
        <f>IF(N327&lt;2,"          -IAQ/Health (2 points)","          -IAQ/Health (2 points) ")</f>
        <v>          -IAQ/Health (2 points)</v>
      </c>
      <c r="E359" s="207"/>
      <c r="F359" s="207"/>
      <c r="G359" s="207"/>
      <c r="H359" s="207"/>
      <c r="I359" s="207"/>
      <c r="J359" s="208"/>
      <c r="K359" s="209"/>
      <c r="L359" s="210"/>
      <c r="M359" s="210"/>
      <c r="N359" s="210"/>
      <c r="O359" s="210"/>
      <c r="P359" s="210"/>
      <c r="Q359" s="374"/>
      <c r="R359" s="211"/>
      <c r="S359" s="212"/>
      <c r="X359" s="249"/>
    </row>
    <row r="360" spans="1:24" s="206" customFormat="1" ht="12.75">
      <c r="A360" s="38" t="str">
        <f>IF(O327&lt;2,"          -Resources (2 points)","          -Resources (2 points) ")</f>
        <v>          -Resources (2 points)</v>
      </c>
      <c r="E360" s="207"/>
      <c r="F360" s="207"/>
      <c r="G360" s="207"/>
      <c r="H360" s="207"/>
      <c r="I360" s="207"/>
      <c r="J360" s="208"/>
      <c r="K360" s="209"/>
      <c r="L360" s="210"/>
      <c r="M360" s="210"/>
      <c r="N360" s="210"/>
      <c r="O360" s="210"/>
      <c r="P360" s="210"/>
      <c r="Q360" s="374"/>
      <c r="R360" s="211"/>
      <c r="S360" s="212"/>
      <c r="X360" s="249"/>
    </row>
    <row r="361" spans="1:24" s="206" customFormat="1" ht="12.75">
      <c r="A361" s="38" t="str">
        <f>IF(P327&lt;4,"          -Water (4 points)","          -Water (4 points) ")</f>
        <v>          -Water (4 points)</v>
      </c>
      <c r="E361" s="207"/>
      <c r="F361" s="207"/>
      <c r="G361" s="207"/>
      <c r="H361" s="207"/>
      <c r="I361" s="207"/>
      <c r="J361" s="208"/>
      <c r="K361" s="209"/>
      <c r="L361" s="210"/>
      <c r="M361" s="210"/>
      <c r="N361" s="210"/>
      <c r="O361" s="210"/>
      <c r="P361" s="210"/>
      <c r="Q361" s="374"/>
      <c r="R361" s="211"/>
      <c r="S361" s="212"/>
      <c r="X361" s="249"/>
    </row>
    <row r="362" spans="1:24" s="206" customFormat="1" ht="12.75">
      <c r="A362" s="38"/>
      <c r="E362" s="207"/>
      <c r="F362" s="207"/>
      <c r="G362" s="207"/>
      <c r="H362" s="207"/>
      <c r="I362" s="207"/>
      <c r="J362" s="208"/>
      <c r="K362" s="209"/>
      <c r="L362" s="210"/>
      <c r="M362" s="210"/>
      <c r="N362" s="210"/>
      <c r="O362" s="210"/>
      <c r="P362" s="210"/>
      <c r="Q362" s="374"/>
      <c r="R362" s="211"/>
      <c r="S362" s="212"/>
      <c r="X362" s="249"/>
    </row>
    <row r="363" spans="1:24" s="206" customFormat="1" ht="12.75">
      <c r="A363" s="197" t="str">
        <f>IF(AND($S$327&gt;49,$M$327&gt;20,$N$327&gt;5,$O$327&gt;=6,$P$327&gt;=8,OR($B$47:$C$47),$B$56,$B$121,$B$145,$B$148,$B$152,$B$180,$B$182,$B$210,$B$253,$B$262),"This project has also met all recommended minimum requirements for GreenPoint Rated Whole House!","Project must meet the following minimum requirements to qualify for GreenPoint Rated Whole House:")</f>
        <v>Project must meet the following minimum requirements to qualify for GreenPoint Rated Whole House:</v>
      </c>
      <c r="B363" s="211"/>
      <c r="C363" s="211"/>
      <c r="D363" s="211"/>
      <c r="E363" s="214"/>
      <c r="F363" s="214"/>
      <c r="G363" s="214"/>
      <c r="H363" s="214"/>
      <c r="I363" s="214"/>
      <c r="J363" s="208"/>
      <c r="K363" s="209"/>
      <c r="L363" s="215"/>
      <c r="M363" s="215"/>
      <c r="N363" s="215"/>
      <c r="O363" s="215"/>
      <c r="P363" s="215"/>
      <c r="Q363" s="375"/>
      <c r="R363" s="211"/>
      <c r="S363" s="212"/>
      <c r="X363" s="249"/>
    </row>
    <row r="364" spans="1:24" s="206" customFormat="1" ht="12.75">
      <c r="A364" s="38" t="str">
        <f>IF($S$327&lt;50,"    - Total Project Score of At Least 50 Points","    - Total Project Score of At Least 50 Points ")</f>
        <v>    - Total Project Score of At Least 50 Points</v>
      </c>
      <c r="B364" s="56"/>
      <c r="C364" s="56"/>
      <c r="D364" s="56"/>
      <c r="E364" s="56"/>
      <c r="F364" s="56"/>
      <c r="G364" s="56"/>
      <c r="H364" s="56"/>
      <c r="I364" s="56"/>
      <c r="J364" s="177"/>
      <c r="K364" s="209"/>
      <c r="L364" s="210"/>
      <c r="M364" s="210"/>
      <c r="N364" s="210"/>
      <c r="O364" s="210"/>
      <c r="P364" s="210"/>
      <c r="Q364" s="374"/>
      <c r="R364" s="211"/>
      <c r="S364" s="212"/>
      <c r="X364" s="249"/>
    </row>
    <row r="365" spans="1:24" s="206" customFormat="1" ht="12.75">
      <c r="A365" s="198" t="str">
        <f>IF(AND(OR($B$47,$C$47),$B$56,$B$121,$B$145,$B$148,$B$152,$B$180,$B$182,$B$210,$B$253,$B$262),"    - Required measures: ","    - Required measures:")</f>
        <v>    - Required measures:</v>
      </c>
      <c r="B365" s="56"/>
      <c r="C365" s="56"/>
      <c r="D365" s="56"/>
      <c r="E365" s="56"/>
      <c r="F365" s="56"/>
      <c r="G365" s="56"/>
      <c r="H365" s="56"/>
      <c r="I365" s="56"/>
      <c r="J365" s="177"/>
      <c r="K365" s="209"/>
      <c r="L365" s="210"/>
      <c r="M365" s="210"/>
      <c r="N365" s="210"/>
      <c r="O365" s="210"/>
      <c r="P365" s="210"/>
      <c r="Q365" s="374"/>
      <c r="R365" s="211"/>
      <c r="S365" s="212"/>
      <c r="X365" s="249"/>
    </row>
    <row r="366" spans="1:24" s="206" customFormat="1" ht="12.75">
      <c r="A366" s="198" t="str">
        <f>IF($B$47=FALSE,"          -A2a: Divert All Cardboard, Concrete and Metals","          -A2a: Divert All Cardboard, Concrete and Metals ")</f>
        <v>          -A2a: Divert All Cardboard, Concrete and Metals</v>
      </c>
      <c r="B366" s="56"/>
      <c r="C366" s="56"/>
      <c r="D366" s="56"/>
      <c r="E366" s="56"/>
      <c r="F366" s="56"/>
      <c r="G366" s="56"/>
      <c r="H366" s="56"/>
      <c r="I366" s="56"/>
      <c r="J366" s="177"/>
      <c r="K366" s="209"/>
      <c r="L366" s="210"/>
      <c r="M366" s="210"/>
      <c r="N366" s="210"/>
      <c r="O366" s="210"/>
      <c r="P366" s="210"/>
      <c r="Q366" s="374"/>
      <c r="R366" s="211"/>
      <c r="S366" s="212"/>
      <c r="X366" s="249"/>
    </row>
    <row r="367" spans="1:24" s="206" customFormat="1" ht="12.75">
      <c r="A367" s="199" t="str">
        <f>IF(($B$56=FALSE),"          -B2: Moisture Source Verification and Correction","          -B2: Moisture Source Verification and Correction ")</f>
        <v>          -B2: Moisture Source Verification and Correction</v>
      </c>
      <c r="B367" s="56"/>
      <c r="C367" s="56"/>
      <c r="D367" s="56"/>
      <c r="E367" s="56"/>
      <c r="F367" s="56"/>
      <c r="G367" s="56"/>
      <c r="H367" s="56"/>
      <c r="I367" s="56"/>
      <c r="J367" s="177"/>
      <c r="K367" s="209"/>
      <c r="L367" s="210"/>
      <c r="M367" s="210"/>
      <c r="N367" s="210"/>
      <c r="O367" s="210"/>
      <c r="P367" s="210"/>
      <c r="Q367" s="374"/>
      <c r="R367" s="211"/>
      <c r="S367" s="212"/>
      <c r="X367" s="249"/>
    </row>
    <row r="368" spans="1:24" s="206" customFormat="1" ht="12.75">
      <c r="A368" s="200" t="str">
        <f>IF(($B$121=FALSE),"          -D9: Sound Exterior Assemblies","          -D9: Sound Exterior Assemblies ")</f>
        <v>          -D9: Sound Exterior Assemblies</v>
      </c>
      <c r="B368" s="56"/>
      <c r="C368" s="56"/>
      <c r="D368" s="56"/>
      <c r="E368" s="56"/>
      <c r="F368" s="56"/>
      <c r="G368" s="56"/>
      <c r="H368" s="56"/>
      <c r="I368" s="56"/>
      <c r="J368" s="177"/>
      <c r="K368" s="209"/>
      <c r="L368" s="210"/>
      <c r="M368" s="210"/>
      <c r="N368" s="210"/>
      <c r="O368" s="210"/>
      <c r="P368" s="210"/>
      <c r="Q368" s="374"/>
      <c r="R368" s="211"/>
      <c r="S368" s="212"/>
      <c r="X368" s="249"/>
    </row>
    <row r="369" spans="1:24" s="206" customFormat="1" ht="12.75">
      <c r="A369" s="201" t="str">
        <f>IF(($B$145=FALSE),"          -G3a: All Fixtures Meet Federal Energy Policy Act","          -G3a: All Fixtures Meet Federal Energy Policy Act ")</f>
        <v>          -G3a: All Fixtures Meet Federal Energy Policy Act</v>
      </c>
      <c r="B369" s="56"/>
      <c r="C369" s="56"/>
      <c r="D369" s="56"/>
      <c r="E369" s="56"/>
      <c r="F369" s="56"/>
      <c r="G369" s="56"/>
      <c r="H369" s="56"/>
      <c r="I369" s="56"/>
      <c r="J369" s="177"/>
      <c r="K369" s="209"/>
      <c r="L369" s="210"/>
      <c r="M369" s="210"/>
      <c r="N369" s="210"/>
      <c r="O369" s="210"/>
      <c r="P369" s="210"/>
      <c r="Q369" s="374"/>
      <c r="R369" s="211"/>
      <c r="S369" s="212"/>
      <c r="X369" s="249"/>
    </row>
    <row r="370" spans="1:24" s="206" customFormat="1" ht="12.75">
      <c r="A370" s="201" t="str">
        <f>IF($B$148=FALSE,"          -G4: Plumbing System Integrity and No Plumbing Leaks","          -G4: Plumbing System Integrity and No Plumbing Leaks ")</f>
        <v>          -G4: Plumbing System Integrity and No Plumbing Leaks</v>
      </c>
      <c r="B370" s="56"/>
      <c r="C370" s="56"/>
      <c r="D370" s="56"/>
      <c r="E370" s="56"/>
      <c r="F370" s="56"/>
      <c r="G370" s="56"/>
      <c r="H370" s="56"/>
      <c r="I370" s="56"/>
      <c r="J370" s="177"/>
      <c r="K370" s="209"/>
      <c r="L370" s="210"/>
      <c r="M370" s="210"/>
      <c r="N370" s="210"/>
      <c r="O370" s="210"/>
      <c r="P370" s="210"/>
      <c r="Q370" s="374"/>
      <c r="R370" s="211"/>
      <c r="S370" s="212"/>
      <c r="X370" s="249"/>
    </row>
    <row r="371" spans="1:24" s="206" customFormat="1" ht="12.75">
      <c r="A371" s="201" t="str">
        <f>IF((B152=FALSE),"          -H1a: Visual Survey of Installation of HVAC Equipment ","          -H1a: Visual Survey of Installation of HVAC Equipment  ")</f>
        <v>          -H1a: Visual Survey of Installation of HVAC Equipment </v>
      </c>
      <c r="B371" s="56"/>
      <c r="C371" s="56"/>
      <c r="D371" s="56"/>
      <c r="E371" s="56"/>
      <c r="F371" s="56"/>
      <c r="G371" s="56"/>
      <c r="H371" s="56"/>
      <c r="I371" s="56"/>
      <c r="J371" s="177"/>
      <c r="K371" s="209"/>
      <c r="L371" s="210"/>
      <c r="M371" s="210"/>
      <c r="N371" s="210"/>
      <c r="O371" s="210"/>
      <c r="P371" s="210"/>
      <c r="Q371" s="374"/>
      <c r="R371" s="211"/>
      <c r="S371" s="212"/>
      <c r="X371" s="249"/>
    </row>
    <row r="372" spans="1:24" s="206" customFormat="1" ht="12.75">
      <c r="A372" s="201" t="str">
        <f>IF(($B$180=FALSE),"          -H12a: Carbon Monoxide Testing and Correction","          -H12a: Carbon Monoxide Testing and Correction ")</f>
        <v>          -H12a: Carbon Monoxide Testing and Correction</v>
      </c>
      <c r="B372" s="56"/>
      <c r="C372" s="56"/>
      <c r="D372" s="56"/>
      <c r="E372" s="56"/>
      <c r="F372" s="56"/>
      <c r="G372" s="56"/>
      <c r="H372" s="56"/>
      <c r="I372" s="56"/>
      <c r="J372" s="177"/>
      <c r="K372" s="209"/>
      <c r="L372" s="210"/>
      <c r="M372" s="210"/>
      <c r="N372" s="210"/>
      <c r="O372" s="210"/>
      <c r="P372" s="210"/>
      <c r="Q372" s="374"/>
      <c r="R372" s="211"/>
      <c r="S372" s="212"/>
      <c r="X372" s="249"/>
    </row>
    <row r="373" spans="1:24" s="206" customFormat="1" ht="12.75">
      <c r="A373" s="201" t="str">
        <f>IF(($B$182=FALSE),"          -H13: Combustion Safety Backdraft Test","          -H13: Combustion Safety Backdraft Test ")</f>
        <v>          -H13: Combustion Safety Backdraft Test</v>
      </c>
      <c r="B373" s="56"/>
      <c r="C373" s="56"/>
      <c r="D373" s="56"/>
      <c r="E373" s="56"/>
      <c r="F373" s="56"/>
      <c r="G373" s="56"/>
      <c r="H373" s="56"/>
      <c r="I373" s="56"/>
      <c r="J373" s="177"/>
      <c r="K373" s="209"/>
      <c r="L373" s="210"/>
      <c r="M373" s="210"/>
      <c r="N373" s="210"/>
      <c r="O373" s="210"/>
      <c r="P373" s="210"/>
      <c r="Q373" s="374"/>
      <c r="R373" s="211"/>
      <c r="S373" s="212"/>
      <c r="X373" s="249"/>
    </row>
    <row r="374" spans="1:24" s="206" customFormat="1" ht="12.75">
      <c r="A374" s="201" t="str">
        <f>IF(($B$210=FALSE),"          -J3a: Meet Energy Budget for Home Based on Year (includes blower door test)","          -J3a: Meet Energy Budget for Home Based on Year (includes blower door test) ")</f>
        <v>          -J3a: Meet Energy Budget for Home Based on Year (includes blower door test)</v>
      </c>
      <c r="B374" s="56"/>
      <c r="C374" s="56"/>
      <c r="D374" s="56"/>
      <c r="E374" s="56"/>
      <c r="F374" s="56"/>
      <c r="G374" s="56"/>
      <c r="H374" s="56"/>
      <c r="I374" s="56"/>
      <c r="J374" s="177"/>
      <c r="K374" s="209"/>
      <c r="L374" s="210"/>
      <c r="M374" s="210"/>
      <c r="N374" s="210"/>
      <c r="O374" s="210"/>
      <c r="P374" s="210"/>
      <c r="Q374" s="374"/>
      <c r="R374" s="211"/>
      <c r="S374" s="212"/>
      <c r="X374" s="249"/>
    </row>
    <row r="375" spans="1:24" s="206" customFormat="1" ht="12.75">
      <c r="A375" s="351" t="str">
        <f>IF(($B$253=FALSE),"          -M5: Electrical Verification","          -M5: Electrical Verification ")</f>
        <v>          -M5: Electrical Verification</v>
      </c>
      <c r="B375" s="56"/>
      <c r="C375" s="56"/>
      <c r="D375" s="56"/>
      <c r="E375" s="56"/>
      <c r="F375" s="56"/>
      <c r="G375" s="56"/>
      <c r="H375" s="56"/>
      <c r="I375" s="56"/>
      <c r="J375" s="201"/>
      <c r="K375" s="209"/>
      <c r="L375" s="210"/>
      <c r="M375" s="210"/>
      <c r="N375" s="210"/>
      <c r="O375" s="210"/>
      <c r="P375" s="210"/>
      <c r="Q375" s="374"/>
      <c r="R375" s="211"/>
      <c r="S375" s="212"/>
      <c r="X375" s="249"/>
    </row>
    <row r="376" spans="1:24" s="206" customFormat="1" ht="12.75">
      <c r="A376" s="201" t="str">
        <f>IF(B262=FALSE,"          -N1: Incorporate GreenPoint Checklist in Blueprints or Distribute Checklist","          -N1: Incorporate GreenPoint Checklist in Blueprints or Distribute Checklist ")</f>
        <v>          -N1: Incorporate GreenPoint Checklist in Blueprints or Distribute Checklist</v>
      </c>
      <c r="B376" s="56"/>
      <c r="C376" s="56"/>
      <c r="D376" s="56"/>
      <c r="E376" s="56"/>
      <c r="F376" s="56"/>
      <c r="G376" s="56"/>
      <c r="H376" s="56"/>
      <c r="I376" s="56"/>
      <c r="J376" s="177"/>
      <c r="K376" s="209"/>
      <c r="L376" s="210"/>
      <c r="M376" s="210"/>
      <c r="N376" s="210"/>
      <c r="O376" s="210"/>
      <c r="P376" s="210"/>
      <c r="Q376" s="374"/>
      <c r="R376" s="211"/>
      <c r="S376" s="212"/>
      <c r="X376" s="249"/>
    </row>
    <row r="377" spans="1:24" s="206" customFormat="1" ht="12.75">
      <c r="A377" s="38" t="str">
        <f>IF(OR($M$327&lt;20,$N$327&lt;5,$O$327&lt;6,$P$327&lt;8),"    - Minimum points in specific categories:","    - Minimum points in specific categories: ")</f>
        <v>    - Minimum points in specific categories:</v>
      </c>
      <c r="B377" s="56"/>
      <c r="C377" s="56"/>
      <c r="D377" s="56"/>
      <c r="E377" s="56"/>
      <c r="F377" s="56"/>
      <c r="G377" s="56"/>
      <c r="H377" s="56"/>
      <c r="I377" s="56"/>
      <c r="J377" s="177"/>
      <c r="K377" s="209"/>
      <c r="L377" s="210"/>
      <c r="M377" s="210"/>
      <c r="N377" s="210"/>
      <c r="O377" s="210"/>
      <c r="P377" s="210"/>
      <c r="Q377" s="374"/>
      <c r="R377" s="211"/>
      <c r="S377" s="212"/>
      <c r="X377" s="249"/>
    </row>
    <row r="378" spans="1:24" s="206" customFormat="1" ht="12.75">
      <c r="A378" s="38" t="str">
        <f>IF(($M$327&lt;20),"          -Energy (20 points)","          -Energy (20 points) ")</f>
        <v>          -Energy (20 points)</v>
      </c>
      <c r="B378" s="56"/>
      <c r="C378" s="56"/>
      <c r="D378" s="56"/>
      <c r="E378" s="56"/>
      <c r="F378" s="56"/>
      <c r="G378" s="56"/>
      <c r="H378" s="56"/>
      <c r="I378" s="56"/>
      <c r="J378" s="177"/>
      <c r="K378" s="209"/>
      <c r="L378" s="210"/>
      <c r="M378" s="210"/>
      <c r="N378" s="210"/>
      <c r="O378" s="210"/>
      <c r="P378" s="210"/>
      <c r="Q378" s="374"/>
      <c r="R378" s="211"/>
      <c r="S378" s="212"/>
      <c r="X378" s="249"/>
    </row>
    <row r="379" spans="1:24" s="206" customFormat="1" ht="12.75">
      <c r="A379" s="38" t="str">
        <f>IF($N$327&lt;5,"          -IAQ/Health (5 points)","          -IAQ/Health (5 points) ")</f>
        <v>          -IAQ/Health (5 points)</v>
      </c>
      <c r="B379" s="56"/>
      <c r="C379" s="56"/>
      <c r="D379" s="56"/>
      <c r="E379" s="56"/>
      <c r="F379" s="56"/>
      <c r="G379" s="56"/>
      <c r="H379" s="56"/>
      <c r="I379" s="56"/>
      <c r="J379" s="177"/>
      <c r="K379" s="209"/>
      <c r="L379" s="210"/>
      <c r="M379" s="210"/>
      <c r="N379" s="210"/>
      <c r="O379" s="210"/>
      <c r="P379" s="210"/>
      <c r="Q379" s="374"/>
      <c r="R379" s="211"/>
      <c r="S379" s="212"/>
      <c r="X379" s="249"/>
    </row>
    <row r="380" spans="1:24" s="206" customFormat="1" ht="12.75">
      <c r="A380" s="38" t="str">
        <f>IF($O$327&lt;6,"          -Resources (6 points)","          -Resources (6 points) ")</f>
        <v>          -Resources (6 points)</v>
      </c>
      <c r="B380" s="56"/>
      <c r="C380" s="56"/>
      <c r="D380" s="56"/>
      <c r="E380" s="56"/>
      <c r="F380" s="56"/>
      <c r="G380" s="56"/>
      <c r="H380" s="56"/>
      <c r="I380" s="56"/>
      <c r="J380" s="177"/>
      <c r="K380" s="209"/>
      <c r="L380" s="210"/>
      <c r="M380" s="210"/>
      <c r="N380" s="210"/>
      <c r="O380" s="210"/>
      <c r="P380" s="210"/>
      <c r="Q380" s="374"/>
      <c r="R380" s="211"/>
      <c r="S380" s="212"/>
      <c r="X380" s="249"/>
    </row>
    <row r="381" spans="1:24" s="206" customFormat="1" ht="12.75">
      <c r="A381" s="38" t="str">
        <f>IF($P$327&lt;8,"          -Water (8 points)","          -Water (8 points) ")</f>
        <v>          -Water (8 points)</v>
      </c>
      <c r="B381" s="56"/>
      <c r="C381" s="56"/>
      <c r="D381" s="56"/>
      <c r="E381" s="56"/>
      <c r="F381" s="56"/>
      <c r="G381" s="56"/>
      <c r="H381" s="56"/>
      <c r="I381" s="56"/>
      <c r="J381" s="177"/>
      <c r="K381" s="209"/>
      <c r="L381" s="215"/>
      <c r="M381" s="215"/>
      <c r="N381" s="215"/>
      <c r="O381" s="215"/>
      <c r="P381" s="215"/>
      <c r="Q381" s="375"/>
      <c r="R381" s="211"/>
      <c r="S381" s="212"/>
      <c r="X381" s="249"/>
    </row>
    <row r="382" ht="12.75">
      <c r="A382" s="201"/>
    </row>
    <row r="383" ht="12.75">
      <c r="A383" s="38"/>
    </row>
    <row r="384" ht="12.75">
      <c r="A384" s="38"/>
    </row>
    <row r="385" ht="12.75">
      <c r="A385" s="38"/>
    </row>
    <row r="386" ht="12.75">
      <c r="A386" s="38"/>
    </row>
    <row r="387" ht="12.75">
      <c r="A387" s="38"/>
    </row>
    <row r="388" spans="1:24" s="55" customFormat="1" ht="12.75">
      <c r="A388" s="181"/>
      <c r="J388" s="177"/>
      <c r="K388" s="178"/>
      <c r="L388" s="180"/>
      <c r="M388" s="180"/>
      <c r="N388" s="180"/>
      <c r="O388" s="180"/>
      <c r="P388" s="180"/>
      <c r="Q388" s="376"/>
      <c r="X388" s="241"/>
    </row>
    <row r="389" spans="1:24" s="55" customFormat="1" ht="12.75">
      <c r="A389" s="181" t="s">
        <v>149</v>
      </c>
      <c r="J389" s="177"/>
      <c r="K389" s="178"/>
      <c r="L389" s="180"/>
      <c r="M389" s="180"/>
      <c r="N389" s="180"/>
      <c r="O389" s="180"/>
      <c r="P389" s="180"/>
      <c r="Q389" s="376"/>
      <c r="X389" s="241"/>
    </row>
  </sheetData>
  <sheetProtection password="CA99" sheet="1" objects="1" scenarios="1" formatRows="0"/>
  <mergeCells count="23">
    <mergeCell ref="N4:P4"/>
    <mergeCell ref="N5:P5"/>
    <mergeCell ref="A2:J7"/>
    <mergeCell ref="N3:P3"/>
    <mergeCell ref="K3:M3"/>
    <mergeCell ref="K5:M5"/>
    <mergeCell ref="L129:P129"/>
    <mergeCell ref="A8:J8"/>
    <mergeCell ref="L91:P91"/>
    <mergeCell ref="L9:P9"/>
    <mergeCell ref="L44:P44"/>
    <mergeCell ref="L52:P52"/>
    <mergeCell ref="L66:P66"/>
    <mergeCell ref="L123:P123"/>
    <mergeCell ref="L138:P138"/>
    <mergeCell ref="L150:P150"/>
    <mergeCell ref="L214:P214"/>
    <mergeCell ref="L235:P235"/>
    <mergeCell ref="L269:P269"/>
    <mergeCell ref="L261:P261"/>
    <mergeCell ref="L184:P184"/>
    <mergeCell ref="L191:P191"/>
    <mergeCell ref="L240:P240"/>
  </mergeCells>
  <conditionalFormatting sqref="A383 A357 A362 A377 A343">
    <cfRule type="cellIs" priority="1" dxfId="1" operator="equal" stopIfTrue="1">
      <formula>"    - Minimum points in specific categories:"</formula>
    </cfRule>
    <cfRule type="cellIs" priority="2" dxfId="0" operator="equal" stopIfTrue="1">
      <formula>"    - Minimum points in specific categories: "</formula>
    </cfRule>
  </conditionalFormatting>
  <conditionalFormatting sqref="A384">
    <cfRule type="cellIs" priority="3" dxfId="1" operator="equal" stopIfTrue="1">
      <formula>"          -Energy (30 points)"</formula>
    </cfRule>
    <cfRule type="cellIs" priority="4" dxfId="0" operator="equal" stopIfTrue="1">
      <formula>"          -Energy (30 points) "</formula>
    </cfRule>
  </conditionalFormatting>
  <conditionalFormatting sqref="A385 A379 A345">
    <cfRule type="cellIs" priority="5" dxfId="1" operator="equal" stopIfTrue="1">
      <formula>"          -IAQ/Health (5 points)"</formula>
    </cfRule>
    <cfRule type="cellIs" priority="6" dxfId="0" operator="equal" stopIfTrue="1">
      <formula>"          -IAQ/Health (5 points) "</formula>
    </cfRule>
  </conditionalFormatting>
  <conditionalFormatting sqref="A386 A380 A346">
    <cfRule type="cellIs" priority="7" dxfId="1" operator="equal" stopIfTrue="1">
      <formula>"          -Resources (6 points)"</formula>
    </cfRule>
    <cfRule type="cellIs" priority="8" dxfId="0" operator="equal" stopIfTrue="1">
      <formula>"          -Resources (6 points) "</formula>
    </cfRule>
  </conditionalFormatting>
  <conditionalFormatting sqref="A387">
    <cfRule type="cellIs" priority="9" dxfId="1" operator="equal" stopIfTrue="1">
      <formula>"          -Water (9 points)"</formula>
    </cfRule>
    <cfRule type="cellIs" priority="10" dxfId="0" operator="equal" stopIfTrue="1">
      <formula>"          -Water (9 points) "</formula>
    </cfRule>
  </conditionalFormatting>
  <conditionalFormatting sqref="A364 A330">
    <cfRule type="cellIs" priority="11" dxfId="1" operator="equal" stopIfTrue="1">
      <formula>"    - Total Project Score of At Least 50 Points"</formula>
    </cfRule>
    <cfRule type="cellIs" priority="12" dxfId="0" operator="equal" stopIfTrue="1">
      <formula>"    - Total Project Score of At Least 50 Points "</formula>
    </cfRule>
  </conditionalFormatting>
  <conditionalFormatting sqref="A365 A351 A331">
    <cfRule type="cellIs" priority="13" dxfId="0" operator="equal" stopIfTrue="1">
      <formula>"    - Required measures: "</formula>
    </cfRule>
    <cfRule type="cellIs" priority="14" dxfId="1" operator="equal" stopIfTrue="1">
      <formula>"    - Required measures:"</formula>
    </cfRule>
  </conditionalFormatting>
  <conditionalFormatting sqref="A382">
    <cfRule type="cellIs" priority="17" dxfId="1" operator="equal" stopIfTrue="1">
      <formula>"          -N1: Incorporate GreenPoint Checklist in Blueprints and Planning"</formula>
    </cfRule>
    <cfRule type="cellIs" priority="18" dxfId="0" operator="equal" stopIfTrue="1">
      <formula>"          -N1: Incorporate GreenPoint Checklist in Blueprints and Planning "</formula>
    </cfRule>
  </conditionalFormatting>
  <conditionalFormatting sqref="A369 A335">
    <cfRule type="cellIs" priority="21" dxfId="1" operator="equal" stopIfTrue="1">
      <formula>"          -G3a: All Fixtures Meet Federal Energy Policy Act"</formula>
    </cfRule>
    <cfRule type="cellIs" priority="22" dxfId="0" operator="equal" stopIfTrue="1">
      <formula>"          -G3a: All Fixtures Meet Federal Energy Policy Act "</formula>
    </cfRule>
  </conditionalFormatting>
  <conditionalFormatting sqref="A370 A353 A336">
    <cfRule type="cellIs" priority="27" dxfId="1" operator="equal" stopIfTrue="1">
      <formula>"          -G4: Plumbing System Integrity and No Plumbing Leaks"</formula>
    </cfRule>
    <cfRule type="cellIs" priority="28" dxfId="0" operator="equal" stopIfTrue="1">
      <formula>"          -G4: Plumbing System Integrity and No Plumbing Leaks "</formula>
    </cfRule>
  </conditionalFormatting>
  <conditionalFormatting sqref="A368 A334">
    <cfRule type="cellIs" priority="31" dxfId="1" operator="equal" stopIfTrue="1">
      <formula>"          -D9: Sound Exterior Assemblies"</formula>
    </cfRule>
    <cfRule type="cellIs" priority="32" dxfId="0" operator="equal" stopIfTrue="1">
      <formula>"          -D9: Sound Exterior Assemblies "</formula>
    </cfRule>
  </conditionalFormatting>
  <conditionalFormatting sqref="A372 A338">
    <cfRule type="cellIs" priority="35" dxfId="1" operator="equal" stopIfTrue="1">
      <formula>"          -H12a: Carbon Monoxide Testing and Correction"</formula>
    </cfRule>
    <cfRule type="cellIs" priority="36" dxfId="0" operator="equal" stopIfTrue="1">
      <formula>"          -H12a: Carbon Monoxide Testing and Correction "</formula>
    </cfRule>
  </conditionalFormatting>
  <conditionalFormatting sqref="J375">
    <cfRule type="cellIs" priority="37" dxfId="1" operator="equal" stopIfTrue="1">
      <formula>"          -J3a: Meet Energy Budget for Home Based on Year"</formula>
    </cfRule>
    <cfRule type="cellIs" priority="38" dxfId="0" operator="equal" stopIfTrue="1">
      <formula>"          -J3a: Meet Energy Budget for Home Based on Year "</formula>
    </cfRule>
  </conditionalFormatting>
  <conditionalFormatting sqref="A378 A344">
    <cfRule type="cellIs" priority="41" dxfId="1" operator="equal" stopIfTrue="1">
      <formula>"          -Energy (20 points)"</formula>
    </cfRule>
    <cfRule type="cellIs" priority="42" dxfId="0" operator="equal" stopIfTrue="1">
      <formula>"          -Energy (20 points) "</formula>
    </cfRule>
  </conditionalFormatting>
  <conditionalFormatting sqref="A381 A347">
    <cfRule type="cellIs" priority="43" dxfId="1" operator="equal" stopIfTrue="1">
      <formula>"          -Water (8 points)"</formula>
    </cfRule>
    <cfRule type="cellIs" priority="44" dxfId="0" operator="equal" stopIfTrue="1">
      <formula>"          -Water (8 points) "</formula>
    </cfRule>
  </conditionalFormatting>
  <conditionalFormatting sqref="A358">
    <cfRule type="cellIs" priority="47" dxfId="1" operator="equal" stopIfTrue="1">
      <formula>"          -Energy (8 points)"</formula>
    </cfRule>
    <cfRule type="cellIs" priority="48" dxfId="0" operator="equal" stopIfTrue="1">
      <formula>"          -Energy (8 points) "</formula>
    </cfRule>
  </conditionalFormatting>
  <conditionalFormatting sqref="A359">
    <cfRule type="cellIs" priority="49" dxfId="1" operator="equal" stopIfTrue="1">
      <formula>"          -IAQ/Health (2 points)"</formula>
    </cfRule>
    <cfRule type="cellIs" priority="50" dxfId="0" operator="equal" stopIfTrue="1">
      <formula>"          -IAQ/Health (2 points) "</formula>
    </cfRule>
  </conditionalFormatting>
  <conditionalFormatting sqref="A360">
    <cfRule type="cellIs" priority="51" dxfId="1" operator="equal" stopIfTrue="1">
      <formula>"          -Resources (2 points)"</formula>
    </cfRule>
    <cfRule type="cellIs" priority="52" dxfId="0" operator="equal" stopIfTrue="1">
      <formula>"          -Resources (2 points) "</formula>
    </cfRule>
  </conditionalFormatting>
  <conditionalFormatting sqref="A361">
    <cfRule type="cellIs" priority="53" dxfId="1" operator="equal" stopIfTrue="1">
      <formula>"          -Water (4 points)"</formula>
    </cfRule>
    <cfRule type="cellIs" priority="54" dxfId="0" operator="equal" stopIfTrue="1">
      <formula>"          -Water (4 points) "</formula>
    </cfRule>
  </conditionalFormatting>
  <conditionalFormatting sqref="A363">
    <cfRule type="cellIs" priority="55" dxfId="18" operator="equal" stopIfTrue="1">
      <formula>"This project has also met all recommended minimum requirements for GreenPoint Rated Whole House!"</formula>
    </cfRule>
    <cfRule type="cellIs" priority="56" dxfId="1" operator="equal" stopIfTrue="1">
      <formula>"Project must meet the following minimum requirements to qualify for GreenPoint Rated Whole House:"</formula>
    </cfRule>
  </conditionalFormatting>
  <conditionalFormatting sqref="A373 A339">
    <cfRule type="cellIs" priority="66" dxfId="1" operator="equal" stopIfTrue="1">
      <formula>"          -H13: Combustion Safety Backdraft Test"</formula>
    </cfRule>
    <cfRule type="cellIs" priority="67" dxfId="0" operator="equal" stopIfTrue="1">
      <formula>"          -H13: Combustion Safety Backdraft Test "</formula>
    </cfRule>
  </conditionalFormatting>
  <conditionalFormatting sqref="A348">
    <cfRule type="cellIs" priority="15" dxfId="0" operator="equal" stopIfTrue="1">
      <formula>"    -Maximum 20 points pursued under Community Design and Planning "</formula>
    </cfRule>
    <cfRule type="cellIs" priority="16" dxfId="1" operator="equal" stopIfTrue="1">
      <formula>"    -Maximum 20 points pursued under Community Design and Planning"</formula>
    </cfRule>
  </conditionalFormatting>
  <conditionalFormatting sqref="A349">
    <cfRule type="cellIs" priority="29" dxfId="18" operator="equal" stopIfTrue="1">
      <formula>"Project has met all recommended minimum requirements for GreenPoint Rated Elements"</formula>
    </cfRule>
    <cfRule type="cellIs" priority="30" dxfId="1" operator="equal" stopIfTrue="1">
      <formula>"Project has not yet met the recommended minimum requirements for GreenPoint Rated Elements:"</formula>
    </cfRule>
  </conditionalFormatting>
  <conditionalFormatting sqref="A350">
    <cfRule type="cellIs" priority="45" dxfId="1" operator="equal" stopIfTrue="1">
      <formula>"    - Total Project Score of At Least 25 Points"</formula>
    </cfRule>
    <cfRule type="cellIs" priority="46" dxfId="0" operator="equal" stopIfTrue="1">
      <formula>"    - Total Project Score of At Least 25 Points "</formula>
    </cfRule>
  </conditionalFormatting>
  <conditionalFormatting sqref="A329">
    <cfRule type="cellIs" priority="63" dxfId="18" operator="equal" stopIfTrue="1">
      <formula>"Project has met all recommended minimum requirements for GreenPoint Rated Whole House"</formula>
    </cfRule>
    <cfRule type="cellIs" priority="64" dxfId="1" operator="equal" stopIfTrue="1">
      <formula>"Project has not yet met the recommended minimum requirements for GreenPoint Rated Whole House:"</formula>
    </cfRule>
  </conditionalFormatting>
  <conditionalFormatting sqref="J56">
    <cfRule type="cellIs" priority="65" dxfId="0" operator="equal" stopIfTrue="1">
      <formula>"2. Moisture Source Inspection and Correction"</formula>
    </cfRule>
  </conditionalFormatting>
  <conditionalFormatting sqref="A352 A366 A332">
    <cfRule type="cellIs" priority="119" dxfId="1" operator="equal" stopIfTrue="1">
      <formula>"          -A2a: Divert All Cardboard, Concrete and Metals"</formula>
    </cfRule>
    <cfRule type="cellIs" priority="120" dxfId="0" operator="equal" stopIfTrue="1">
      <formula>"          -A2a: Divert All Cardboard, Concrete and Metals "</formula>
    </cfRule>
  </conditionalFormatting>
  <conditionalFormatting sqref="A354 A371 A337">
    <cfRule type="cellIs" priority="121" dxfId="1" operator="equal" stopIfTrue="1">
      <formula>"          -H1a: Visual Survey of Installation of HVAC Equipment "</formula>
    </cfRule>
    <cfRule type="cellIs" priority="122" dxfId="0" operator="equal" stopIfTrue="1">
      <formula>"          -H1a: Visual Survey of Installation of HVAC Equipment  "</formula>
    </cfRule>
  </conditionalFormatting>
  <conditionalFormatting sqref="A356 A376 A342">
    <cfRule type="cellIs" priority="123" dxfId="1" operator="equal" stopIfTrue="1">
      <formula>"          -N1: Incorporate GreenPoint Checklist in Blueprints or Distribute Checklist"</formula>
    </cfRule>
    <cfRule type="cellIs" priority="124" dxfId="0" operator="equal" stopIfTrue="1">
      <formula>"          -N1: Incorporate GreenPoint Checklist in Blueprints or Distribute Checklist "</formula>
    </cfRule>
  </conditionalFormatting>
  <conditionalFormatting sqref="A367 A333">
    <cfRule type="cellIs" priority="125" dxfId="1" operator="equal" stopIfTrue="1">
      <formula>"          -B2: Moisture Source Verification and Correction"</formula>
    </cfRule>
    <cfRule type="cellIs" priority="126" dxfId="0" operator="equal" stopIfTrue="1">
      <formula>"          -B2: Moisture Source Verification and Correction "</formula>
    </cfRule>
  </conditionalFormatting>
  <conditionalFormatting sqref="A374 A340">
    <cfRule type="cellIs" priority="127" dxfId="1" operator="equal" stopIfTrue="1">
      <formula>"          -J3a: Meet Energy Budget for Home Based on Year (includes blower door test)"</formula>
    </cfRule>
    <cfRule type="cellIs" priority="128" dxfId="0" operator="equal" stopIfTrue="1">
      <formula>"          -J3a: Meet Energy Budget for Home Based on Year (includes blower door test) "</formula>
    </cfRule>
  </conditionalFormatting>
  <conditionalFormatting sqref="A375">
    <cfRule type="cellIs" priority="129" dxfId="1" operator="equal" stopIfTrue="1">
      <formula>"          -M5: Electrical Verification"</formula>
    </cfRule>
    <cfRule type="cellIs" priority="130" dxfId="0" operator="equal" stopIfTrue="1">
      <formula>"          -M5: Electrical Verification "</formula>
    </cfRule>
  </conditionalFormatting>
  <conditionalFormatting sqref="A341">
    <cfRule type="cellIs" priority="131" dxfId="1" operator="equal" stopIfTrue="1">
      <formula>"          -M5: Electrical Survey"</formula>
    </cfRule>
    <cfRule type="cellIs" priority="132" dxfId="0" operator="equal" stopIfTrue="1">
      <formula>"          -M5: Electrical Survey "</formula>
    </cfRule>
  </conditionalFormatting>
  <conditionalFormatting sqref="A355">
    <cfRule type="cellIs" priority="133" dxfId="1" operator="equal" stopIfTrue="1">
      <formula>"          -J1:  Energy Survey and Education OR J3a: Meet Energy Budget for Home Based on Year"</formula>
    </cfRule>
    <cfRule type="cellIs" priority="134" dxfId="0" operator="equal" stopIfTrue="1">
      <formula>"          -J1:  Energy Survey and Education OR J3a: Meet Energy Budget for Home Based on Year "</formula>
    </cfRule>
  </conditionalFormatting>
  <dataValidations count="14">
    <dataValidation type="textLength" operator="lessThanOrEqual" allowBlank="1" showInputMessage="1" showErrorMessage="1" error="You have exceeded the 300 character maximum for this cell. Please shorten or reword this Innovation Credit to 300 characters or less." sqref="L314:Q321 J267 A268">
      <formula1>300</formula1>
    </dataValidation>
    <dataValidation type="list" allowBlank="1" showInputMessage="1" showErrorMessage="1" sqref="A304:A306 A15 A311:A312 A85 A80:A82 A26:A29 A35:A37 A45 A56 A39:A42 A58:A60 A69:A72 A49:A50 A87:A89 A74:A78 A62:A64 A185 A233 A242:A243 A314:A321 A257:A258 A11:A12 A262:A263 A248:A249 A245:A246 A215 A301 A112:A113 A161 A251:A254 A145 A148 A141:A142 A119:A121 A180:A182 A158:A159 A163:A168 A174:A175 A177:A178 A152:A156 A192 A187:A189 A203:A208 A210 A195:A201 A212 A272 A291:A292 A265:A267 A275 A281 A295:A297 A279 A299 A172">
      <formula1>$S$21:$S$24</formula1>
    </dataValidation>
    <dataValidation type="list" allowBlank="1" showInputMessage="1" showErrorMessage="1" sqref="A259 A105:A106 A134:A136 A83:A84 A54:A55 A97:A103 A217:A221 A116:A117 A114 A280 A124:A127 A131:A132 A146:A147 A143 A160 A93:A95 A298 A237:A238 A229:A232 A223:A227 A276 A108:A110 A283:A288 A170:A171">
      <formula1>$V$8:$V$13</formula1>
    </dataValidation>
    <dataValidation type="list" allowBlank="1" showInputMessage="1" showErrorMessage="1" sqref="A140">
      <formula1>$S$15:$S$17</formula1>
    </dataValidation>
    <dataValidation type="list" allowBlank="1" showInputMessage="1" showErrorMessage="1" sqref="A236">
      <formula1>$W$14:$W$18</formula1>
    </dataValidation>
    <dataValidation type="list" allowBlank="1" showInputMessage="1" showErrorMessage="1" sqref="A255">
      <formula1>$V$20:$V$24</formula1>
    </dataValidation>
    <dataValidation allowBlank="1" showErrorMessage="1" prompt="If your Elements project involves a remodel, you are required to recycle all cardboard, concrete and metal" sqref="J47"/>
    <dataValidation allowBlank="1" showInputMessage="1" promptTitle="Input Project Name" errorTitle="Character Max Exceeded" sqref="L8"/>
    <dataValidation type="textLength" operator="lessThanOrEqual" allowBlank="1" showInputMessage="1" showErrorMessage="1" sqref="A1">
      <formula1>60</formula1>
    </dataValidation>
    <dataValidation type="whole" allowBlank="1" showInputMessage="1" showErrorMessage="1" sqref="A48">
      <formula1>0</formula1>
      <formula2>2</formula2>
    </dataValidation>
    <dataValidation type="list" allowBlank="1" showInputMessage="1" showErrorMessage="1" sqref="A47">
      <formula1>$T$21:$T$23</formula1>
    </dataValidation>
    <dataValidation type="list" allowBlank="1" showInputMessage="1" showErrorMessage="1" sqref="N3:Q3">
      <formula1>$W$3:$W$4</formula1>
    </dataValidation>
    <dataValidation type="list" allowBlank="1" showInputMessage="1" showErrorMessage="1" sqref="A67">
      <formula1>$U$22:$U$23</formula1>
    </dataValidation>
    <dataValidation type="whole" allowBlank="1" showInputMessage="1" showErrorMessage="1" sqref="A14">
      <formula1>0</formula1>
      <formula2>4</formula2>
    </dataValidation>
  </dataValidations>
  <printOptions/>
  <pageMargins left="0.5" right="0.5" top="0.5" bottom="0.69" header="0.5" footer="0.5"/>
  <pageSetup fitToHeight="0" fitToWidth="1" horizontalDpi="600" verticalDpi="600" orientation="portrait" scale="89" r:id="rId4"/>
  <headerFooter alignWithMargins="0">
    <oddFooter>&amp;L © 2008 Build It Green &amp;CGreenPoint Rated Existing Home Whole House Checklist v1.1&amp;R&amp;P</oddFooter>
  </headerFooter>
  <rowBreaks count="5" manualBreakCount="5">
    <brk id="90" max="15" man="1"/>
    <brk id="137" max="15" man="1"/>
    <brk id="190" max="15" man="1"/>
    <brk id="239" max="15" man="1"/>
    <brk id="292" max="15" man="1"/>
  </rowBreaks>
  <ignoredErrors>
    <ignoredError sqref="K48" formula="1"/>
    <ignoredError sqref="M6:P7 L7 A353 A368:A370 A377:A381 A357:A362 B356:J381 B349:J355 A350 A364:A365 A37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KEMA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Allen</dc:creator>
  <cp:keywords/>
  <dc:description/>
  <cp:lastModifiedBy>jeff</cp:lastModifiedBy>
  <cp:lastPrinted>2009-06-04T16:29:53Z</cp:lastPrinted>
  <dcterms:created xsi:type="dcterms:W3CDTF">2007-03-07T03:59:49Z</dcterms:created>
  <dcterms:modified xsi:type="dcterms:W3CDTF">2015-01-14T17:10:11Z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1900.00000000000</vt:lpwstr>
  </property>
  <property fmtid="{D5CDD505-2E9C-101B-9397-08002B2CF9AE}" pid="8" name="_SourceUrl">
    <vt:lpwstr/>
  </property>
  <property fmtid="{D5CDD505-2E9C-101B-9397-08002B2CF9AE}" pid="9" name="_SharedFileIndex">
    <vt:lpwstr/>
  </property>
</Properties>
</file>